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showInkAnnotation="0" codeName="ThisWorkbook" defaultThemeVersion="124226"/>
  <mc:AlternateContent xmlns:mc="http://schemas.openxmlformats.org/markup-compatibility/2006">
    <mc:Choice Requires="x15">
      <x15ac:absPath xmlns:x15ac="http://schemas.microsoft.com/office/spreadsheetml/2010/11/ac" url="C:\Users\vpetrosino\Desktop\"/>
    </mc:Choice>
  </mc:AlternateContent>
  <xr:revisionPtr revIDLastSave="0" documentId="13_ncr:1_{9719EFBF-F49F-4699-8912-B301814DDAEB}" xr6:coauthVersionLast="47" xr6:coauthVersionMax="47" xr10:uidLastSave="{00000000-0000-0000-0000-000000000000}"/>
  <bookViews>
    <workbookView xWindow="-110" yWindow="-110" windowWidth="38620" windowHeight="21220" activeTab="1" xr2:uid="{1D8EF81B-0B31-4BD0-A195-10207616750B}"/>
  </bookViews>
  <sheets>
    <sheet name="PRICE LIST" sheetId="10" r:id="rId1"/>
    <sheet name="METRAJE" sheetId="16" r:id="rId2"/>
    <sheet name="PRECIO DEL METRAJE" sheetId="18" r:id="rId3"/>
    <sheet name="MONTAJE CERR PROPIOS STE EP" sheetId="20" r:id="rId4"/>
    <sheet name="TABLA OFERTA AMPLIADA" sheetId="19" r:id="rId5"/>
    <sheet name="TABLA OFERTA AMPLIADA INGLÉS" sheetId="22" r:id="rId6"/>
    <sheet name="TABLA OFERTA FRANCES" sheetId="23" r:id="rId7"/>
    <sheet name="MONTAJE CERRAM." sheetId="9" state="hidden" r:id="rId8"/>
  </sheets>
  <definedNames>
    <definedName name="_xlnm._FilterDatabase" localSheetId="2" hidden="1">'PRECIO DEL METRAJE'!$E$8:$E$247</definedName>
    <definedName name="_xlnm._FilterDatabase" localSheetId="4" hidden="1">'TABLA OFERTA AMPLIADA'!$B$3:$M$242</definedName>
    <definedName name="_xlnm._FilterDatabase" localSheetId="5" hidden="1">'TABLA OFERTA AMPLIADA INGLÉS'!$B$3:$M$242</definedName>
    <definedName name="_xlnm._FilterDatabase" localSheetId="6" hidden="1">'TABLA OFERTA FRANCES'!$B$3:$M$242</definedName>
    <definedName name="_xlnm.Print_Area" localSheetId="1">METRAJE!$A$1:$I$87</definedName>
    <definedName name="_xlnm.Print_Area" localSheetId="3">'MONTAJE CERR PROPIOS STE EP'!$A$1:$L$8</definedName>
    <definedName name="_xlnm.Print_Area" localSheetId="7">'MONTAJE CERRAM.'!$A$1:$L$8</definedName>
    <definedName name="_xlnm.Criteria" localSheetId="4">'TABLA OFERTA AMPLIADA'!$J$2</definedName>
    <definedName name="_xlnm.Criteria" localSheetId="5">'TABLA OFERTA AMPLIADA INGLÉS'!$J$2</definedName>
    <definedName name="_xlnm.Criteria" localSheetId="6">'TABLA OFERTA FRANCES'!$J$2</definedName>
    <definedName name="FMONTAJE">'PRECIO DEL METRAJE'!$T$2</definedName>
    <definedName name="MULTI.VENTA">#REF!</definedName>
    <definedName name="TIPOTARIFA">'PRICE LIST'!$AI$4:$AI$7</definedName>
    <definedName name="_xlnm.Print_Titles" localSheetId="2">'PRECIO DEL METRAJE'!$1:$4</definedName>
    <definedName name="_xlnm.Print_Titles" localSheetId="0">'PRICE LIST'!$1:$4</definedName>
    <definedName name="_xlnm.Print_Titles" localSheetId="4">'TABLA OFERTA AMPLIADA'!$1:$4</definedName>
    <definedName name="_xlnm.Print_Titles" localSheetId="5">'TABLA OFERTA AMPLIADA INGLÉS'!$1:$4</definedName>
    <definedName name="_xlnm.Print_Titles" localSheetId="6">'TABLA OFERTA FRANCES'!$1:$4</definedName>
    <definedName name="Z_F819DB18_533D_4F21_A4A0_15735EB80015_.wvu.PrintArea" localSheetId="7" hidden="1">'MONTAJE CERRAM.'!$A$1:$L$8</definedName>
    <definedName name="Z_F819DB18_533D_4F21_A4A0_15735EB80015_.wvu.PrintTitles" localSheetId="2" hidden="1">'PRECIO DEL METRAJE'!$1:$4</definedName>
    <definedName name="Z_F819DB18_533D_4F21_A4A0_15735EB80015_.wvu.PrintTitles" localSheetId="0" hidden="1">'PRICE LIST'!$1:$4</definedName>
    <definedName name="Z_F819DB18_533D_4F21_A4A0_15735EB80015_.wvu.PrintTitles" localSheetId="4" hidden="1">'TABLA OFERTA AMPLIADA'!$1:$4</definedName>
    <definedName name="Z_F819DB18_533D_4F21_A4A0_15735EB80015_.wvu.PrintTitles" localSheetId="5" hidden="1">'TABLA OFERTA AMPLIADA INGLÉS'!$1:$4</definedName>
    <definedName name="Z_F819DB18_533D_4F21_A4A0_15735EB80015_.wvu.PrintTitles" localSheetId="6" hidden="1">'TABLA OFERTA FRANCES'!$1:$4</definedName>
    <definedName name="Z_F819DB18_533D_4F21_A4A0_15735EB80015_.wvu.Rows" localSheetId="2" hidden="1">'PRECIO DEL METRAJE'!$39:$39</definedName>
    <definedName name="Z_F819DB18_533D_4F21_A4A0_15735EB80015_.wvu.Rows" localSheetId="0" hidden="1">'PRICE LIST'!$40:$40</definedName>
    <definedName name="Z_F819DB18_533D_4F21_A4A0_15735EB80015_.wvu.Rows" localSheetId="4" hidden="1">'TABLA OFERTA AMPLIADA'!$48:$48</definedName>
    <definedName name="Z_F819DB18_533D_4F21_A4A0_15735EB80015_.wvu.Rows" localSheetId="5" hidden="1">'TABLA OFERTA AMPLIADA INGLÉS'!$47:$47</definedName>
    <definedName name="Z_F819DB18_533D_4F21_A4A0_15735EB80015_.wvu.Rows" localSheetId="6" hidden="1">'TABLA OFERTA FRANCES'!$48:$48</definedName>
  </definedNames>
  <calcPr calcId="191028"/>
  <customWorkbookViews>
    <customWorkbookView name="pdf." guid="{F819DB18-533D-4F21-A4A0-15735EB80015}" maximized="1" xWindow="-8" yWindow="-8" windowWidth="1936" windowHeight="1056" tabRatio="553" activeSheetId="1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4" i="20" l="1"/>
  <c r="D40" i="23"/>
  <c r="M242" i="23" l="1"/>
  <c r="M240" i="23"/>
  <c r="M239" i="23"/>
  <c r="F239" i="23"/>
  <c r="F238" i="23"/>
  <c r="M238" i="23" s="1"/>
  <c r="F237" i="23"/>
  <c r="M237" i="23" s="1"/>
  <c r="F236" i="23"/>
  <c r="M236" i="23" s="1"/>
  <c r="F233" i="23"/>
  <c r="M233" i="23" s="1"/>
  <c r="F232" i="23"/>
  <c r="M232" i="23" s="1"/>
  <c r="M231" i="23"/>
  <c r="F228" i="23"/>
  <c r="M228" i="23" s="1"/>
  <c r="F227" i="23"/>
  <c r="M227" i="23" s="1"/>
  <c r="F226" i="23"/>
  <c r="M226" i="23" s="1"/>
  <c r="F225" i="23"/>
  <c r="M225" i="23" s="1"/>
  <c r="F224" i="23"/>
  <c r="M224" i="23" s="1"/>
  <c r="F223" i="23"/>
  <c r="M223" i="23" s="1"/>
  <c r="F222" i="23"/>
  <c r="M222" i="23" s="1"/>
  <c r="M221" i="23"/>
  <c r="F218" i="23"/>
  <c r="M218" i="23" s="1"/>
  <c r="F217" i="23"/>
  <c r="M217" i="23" s="1"/>
  <c r="F216" i="23"/>
  <c r="M216" i="23" s="1"/>
  <c r="F215" i="23"/>
  <c r="M215" i="23" s="1"/>
  <c r="F214" i="23"/>
  <c r="M214" i="23" s="1"/>
  <c r="F213" i="23"/>
  <c r="M213" i="23" s="1"/>
  <c r="F212" i="23"/>
  <c r="M212" i="23" s="1"/>
  <c r="F211" i="23"/>
  <c r="M211" i="23" s="1"/>
  <c r="F210" i="23"/>
  <c r="M210" i="23" s="1"/>
  <c r="M209" i="23"/>
  <c r="M207" i="23"/>
  <c r="M206" i="23"/>
  <c r="F206" i="23"/>
  <c r="F205" i="23"/>
  <c r="M204" i="23"/>
  <c r="F204" i="23"/>
  <c r="M203" i="23"/>
  <c r="F202" i="23"/>
  <c r="M202" i="23" s="1"/>
  <c r="F201" i="23"/>
  <c r="M201" i="23" s="1"/>
  <c r="M200" i="23"/>
  <c r="F199" i="23"/>
  <c r="M199" i="23" s="1"/>
  <c r="F198" i="23"/>
  <c r="M198" i="23" s="1"/>
  <c r="M197" i="23"/>
  <c r="F196" i="23"/>
  <c r="M196" i="23" s="1"/>
  <c r="F195" i="23"/>
  <c r="M195" i="23" s="1"/>
  <c r="M194" i="23"/>
  <c r="M192" i="23"/>
  <c r="F191" i="23"/>
  <c r="M191" i="23" s="1"/>
  <c r="F190" i="23"/>
  <c r="M190" i="23" s="1"/>
  <c r="F189" i="23"/>
  <c r="M189" i="23" s="1"/>
  <c r="M188" i="23"/>
  <c r="M186" i="23"/>
  <c r="F185" i="23"/>
  <c r="M185" i="23" s="1"/>
  <c r="H184" i="23"/>
  <c r="I184" i="23" s="1"/>
  <c r="F184" i="23"/>
  <c r="M184" i="23" s="1"/>
  <c r="F183" i="23"/>
  <c r="M183" i="23" s="1"/>
  <c r="F182" i="23"/>
  <c r="F181" i="23"/>
  <c r="M181" i="23" s="1"/>
  <c r="F180" i="23"/>
  <c r="M180" i="23" s="1"/>
  <c r="F179" i="23"/>
  <c r="M179" i="23" s="1"/>
  <c r="F178" i="23"/>
  <c r="F177" i="23"/>
  <c r="M177" i="23" s="1"/>
  <c r="F176" i="23"/>
  <c r="M176" i="23" s="1"/>
  <c r="F175" i="23"/>
  <c r="M175" i="23" s="1"/>
  <c r="F174" i="23"/>
  <c r="F173" i="23"/>
  <c r="M173" i="23" s="1"/>
  <c r="F172" i="23"/>
  <c r="M172" i="23" s="1"/>
  <c r="M170" i="23"/>
  <c r="F169" i="23"/>
  <c r="M169" i="23" s="1"/>
  <c r="F168" i="23"/>
  <c r="M168" i="23" s="1"/>
  <c r="F167" i="23"/>
  <c r="M167" i="23" s="1"/>
  <c r="M165" i="23"/>
  <c r="F164" i="23"/>
  <c r="M164" i="23" s="1"/>
  <c r="F163" i="23"/>
  <c r="M163" i="23" s="1"/>
  <c r="F162" i="23"/>
  <c r="M162" i="23" s="1"/>
  <c r="F161" i="23"/>
  <c r="M161" i="23" s="1"/>
  <c r="M160" i="23"/>
  <c r="M157" i="23"/>
  <c r="F157" i="23"/>
  <c r="M156" i="23"/>
  <c r="F156" i="23"/>
  <c r="F155" i="23"/>
  <c r="M155" i="23" s="1"/>
  <c r="F154" i="23"/>
  <c r="M154" i="23" s="1"/>
  <c r="Z153" i="23"/>
  <c r="M152" i="23"/>
  <c r="F151" i="23"/>
  <c r="M151" i="23" s="1"/>
  <c r="M150" i="23"/>
  <c r="F150" i="23"/>
  <c r="F149" i="23"/>
  <c r="M149" i="23" s="1"/>
  <c r="F148" i="23"/>
  <c r="M148" i="23" s="1"/>
  <c r="F146" i="23"/>
  <c r="M145" i="23"/>
  <c r="F144" i="23"/>
  <c r="F143" i="23"/>
  <c r="M143" i="23" s="1"/>
  <c r="F142" i="23"/>
  <c r="F141" i="23"/>
  <c r="M141" i="23" s="1"/>
  <c r="F140" i="23"/>
  <c r="M140" i="23" s="1"/>
  <c r="F139" i="23"/>
  <c r="M139" i="23" s="1"/>
  <c r="F138" i="23"/>
  <c r="F137" i="23"/>
  <c r="M137" i="23" s="1"/>
  <c r="F136" i="23"/>
  <c r="F135" i="23"/>
  <c r="M135" i="23" s="1"/>
  <c r="F134" i="23"/>
  <c r="F133" i="23"/>
  <c r="M133" i="23" s="1"/>
  <c r="F132" i="23"/>
  <c r="F131" i="23"/>
  <c r="M131" i="23" s="1"/>
  <c r="F130" i="23"/>
  <c r="F129" i="23"/>
  <c r="M129" i="23" s="1"/>
  <c r="F128" i="23"/>
  <c r="M128" i="23" s="1"/>
  <c r="F127" i="23"/>
  <c r="M127" i="23" s="1"/>
  <c r="F126" i="23"/>
  <c r="F125" i="23"/>
  <c r="M125" i="23" s="1"/>
  <c r="F124" i="23"/>
  <c r="F123" i="23"/>
  <c r="M123" i="23" s="1"/>
  <c r="F122" i="23"/>
  <c r="M119" i="23"/>
  <c r="F118" i="23"/>
  <c r="M118" i="23" s="1"/>
  <c r="F117" i="23"/>
  <c r="M117" i="23" s="1"/>
  <c r="F116" i="23"/>
  <c r="M116" i="23" s="1"/>
  <c r="F115" i="23"/>
  <c r="M115" i="23" s="1"/>
  <c r="M113" i="23"/>
  <c r="F112" i="23"/>
  <c r="M112" i="23" s="1"/>
  <c r="F111" i="23"/>
  <c r="M111" i="23" s="1"/>
  <c r="F110" i="23"/>
  <c r="M110" i="23" s="1"/>
  <c r="F109" i="23"/>
  <c r="M109" i="23" s="1"/>
  <c r="M106" i="23"/>
  <c r="M105" i="23"/>
  <c r="F105" i="23"/>
  <c r="F104" i="23"/>
  <c r="M104" i="23" s="1"/>
  <c r="M103" i="23"/>
  <c r="F103" i="23"/>
  <c r="F102" i="23"/>
  <c r="M102" i="23" s="1"/>
  <c r="M100" i="23"/>
  <c r="F99" i="23"/>
  <c r="M99" i="23" s="1"/>
  <c r="F98" i="23"/>
  <c r="M98" i="23" s="1"/>
  <c r="F97" i="23"/>
  <c r="M97" i="23" s="1"/>
  <c r="F96" i="23"/>
  <c r="M96" i="23" s="1"/>
  <c r="M93" i="23"/>
  <c r="F92" i="23"/>
  <c r="M92" i="23" s="1"/>
  <c r="M91" i="23"/>
  <c r="F91" i="23"/>
  <c r="F90" i="23"/>
  <c r="M90" i="23" s="1"/>
  <c r="M89" i="23"/>
  <c r="F89" i="23"/>
  <c r="F87" i="23"/>
  <c r="M87" i="23" s="1"/>
  <c r="F86" i="23"/>
  <c r="M86" i="23" s="1"/>
  <c r="F85" i="23"/>
  <c r="M85" i="23" s="1"/>
  <c r="F84" i="23"/>
  <c r="M84" i="23" s="1"/>
  <c r="F83" i="23"/>
  <c r="M83" i="23" s="1"/>
  <c r="M78" i="23"/>
  <c r="F76" i="23"/>
  <c r="M76" i="23" s="1"/>
  <c r="F75" i="23"/>
  <c r="M75" i="23" s="1"/>
  <c r="F73" i="23"/>
  <c r="M73" i="23" s="1"/>
  <c r="F72" i="23"/>
  <c r="M72" i="23" s="1"/>
  <c r="M71" i="23"/>
  <c r="F71" i="23"/>
  <c r="F70" i="23"/>
  <c r="M70" i="23" s="1"/>
  <c r="M69" i="23"/>
  <c r="F69" i="23"/>
  <c r="F68" i="23"/>
  <c r="M68" i="23" s="1"/>
  <c r="F64" i="23"/>
  <c r="M64" i="23" s="1"/>
  <c r="F63" i="23"/>
  <c r="M63" i="23" s="1"/>
  <c r="F62" i="23"/>
  <c r="M62" i="23" s="1"/>
  <c r="M61" i="23"/>
  <c r="F61" i="23"/>
  <c r="F60" i="23"/>
  <c r="M60" i="23" s="1"/>
  <c r="M58" i="23"/>
  <c r="M55" i="23"/>
  <c r="M54" i="23"/>
  <c r="F53" i="23"/>
  <c r="M53" i="23" s="1"/>
  <c r="M52" i="23"/>
  <c r="M51" i="23"/>
  <c r="F50" i="23"/>
  <c r="M50" i="23" s="1"/>
  <c r="M49" i="23"/>
  <c r="M47" i="23"/>
  <c r="M46" i="23"/>
  <c r="F46" i="23"/>
  <c r="F45" i="23"/>
  <c r="M45" i="23" s="1"/>
  <c r="F44" i="23"/>
  <c r="M44" i="23" s="1"/>
  <c r="F43" i="23"/>
  <c r="M43" i="23" s="1"/>
  <c r="M42" i="23"/>
  <c r="F42" i="23"/>
  <c r="F41" i="23"/>
  <c r="M41" i="23" s="1"/>
  <c r="M40" i="23"/>
  <c r="F40" i="23"/>
  <c r="M38" i="23"/>
  <c r="M37" i="23"/>
  <c r="M32" i="23"/>
  <c r="F32" i="23"/>
  <c r="F31" i="23"/>
  <c r="M31" i="23" s="1"/>
  <c r="F30" i="23"/>
  <c r="M30" i="23" s="1"/>
  <c r="M28" i="23"/>
  <c r="F27" i="23"/>
  <c r="M27" i="23" s="1"/>
  <c r="F26" i="23"/>
  <c r="M26" i="23" s="1"/>
  <c r="F25" i="23"/>
  <c r="M25" i="23" s="1"/>
  <c r="F24" i="23"/>
  <c r="M24" i="23" s="1"/>
  <c r="F23" i="23"/>
  <c r="M23" i="23" s="1"/>
  <c r="M21" i="23"/>
  <c r="F16" i="23"/>
  <c r="M16" i="23" s="1"/>
  <c r="M15" i="23"/>
  <c r="F15" i="23"/>
  <c r="F14" i="23"/>
  <c r="M14" i="23" s="1"/>
  <c r="M5" i="23"/>
  <c r="M4" i="23"/>
  <c r="H156" i="10"/>
  <c r="H155" i="10"/>
  <c r="H154" i="10"/>
  <c r="H153" i="10"/>
  <c r="F185" i="22"/>
  <c r="M185" i="22" s="1"/>
  <c r="F184" i="22"/>
  <c r="F185" i="19"/>
  <c r="F184" i="19"/>
  <c r="M184" i="19" s="1"/>
  <c r="D185" i="19"/>
  <c r="D184" i="19"/>
  <c r="M145" i="22"/>
  <c r="M145" i="19"/>
  <c r="H188" i="18"/>
  <c r="K188" i="18" s="1" a="1"/>
  <c r="K188" i="18" s="1"/>
  <c r="H185" i="23" s="1"/>
  <c r="I185" i="23" s="1"/>
  <c r="H187" i="18"/>
  <c r="K187" i="18" s="1" a="1"/>
  <c r="K187" i="18" s="1"/>
  <c r="AA192" i="10"/>
  <c r="AA191" i="10"/>
  <c r="Z192" i="10"/>
  <c r="Z191" i="10"/>
  <c r="O192" i="10"/>
  <c r="O191" i="10"/>
  <c r="L192" i="10"/>
  <c r="L191" i="10"/>
  <c r="F144" i="22"/>
  <c r="M144" i="22" s="1"/>
  <c r="M47" i="19"/>
  <c r="H149" i="10"/>
  <c r="H148" i="18" s="1"/>
  <c r="F144" i="19"/>
  <c r="M144" i="19" s="1"/>
  <c r="F227" i="19"/>
  <c r="K230" i="18" a="1"/>
  <c r="K230" i="18" s="1"/>
  <c r="H230" i="18"/>
  <c r="I230" i="18" s="1"/>
  <c r="Z234" i="10"/>
  <c r="AA234" i="10" s="1"/>
  <c r="O234" i="10"/>
  <c r="J234" i="10"/>
  <c r="M230" i="18" l="1"/>
  <c r="H227" i="23"/>
  <c r="I227" i="23" s="1"/>
  <c r="M205" i="23"/>
  <c r="M122" i="23"/>
  <c r="M124" i="23"/>
  <c r="M126" i="23"/>
  <c r="M130" i="23"/>
  <c r="M132" i="23"/>
  <c r="M134" i="23"/>
  <c r="M136" i="23"/>
  <c r="M138" i="23"/>
  <c r="M142" i="23"/>
  <c r="M144" i="23"/>
  <c r="M174" i="23"/>
  <c r="M178" i="23"/>
  <c r="M182" i="23"/>
  <c r="H185" i="22"/>
  <c r="I185" i="22" s="1"/>
  <c r="M188" i="18"/>
  <c r="H185" i="19"/>
  <c r="I188" i="18"/>
  <c r="I185" i="19"/>
  <c r="M187" i="18"/>
  <c r="H184" i="22"/>
  <c r="H184" i="19"/>
  <c r="I184" i="19" s="1"/>
  <c r="I187" i="18"/>
  <c r="I184" i="22"/>
  <c r="M185" i="19"/>
  <c r="M184" i="22"/>
  <c r="I148" i="18"/>
  <c r="J149" i="10"/>
  <c r="O149" i="10"/>
  <c r="K148" i="18" s="1" a="1"/>
  <c r="K148" i="18" s="1"/>
  <c r="H144" i="23" s="1"/>
  <c r="I144" i="23" s="1"/>
  <c r="AA149" i="10"/>
  <c r="H227" i="19"/>
  <c r="I227" i="19" s="1"/>
  <c r="D40" i="19"/>
  <c r="D40" i="22"/>
  <c r="J72" i="16"/>
  <c r="H246" i="18"/>
  <c r="I246" i="18" s="1"/>
  <c r="H245" i="18"/>
  <c r="I245" i="18" s="1"/>
  <c r="H244" i="18"/>
  <c r="I244" i="18" s="1"/>
  <c r="H243" i="18"/>
  <c r="I243" i="18" s="1"/>
  <c r="AA250" i="10"/>
  <c r="O250" i="10"/>
  <c r="L250" i="10"/>
  <c r="AA249" i="10"/>
  <c r="O249" i="10"/>
  <c r="K245" i="18" s="1" a="1"/>
  <c r="K245" i="18" s="1"/>
  <c r="L249" i="10"/>
  <c r="AA248" i="10"/>
  <c r="O248" i="10"/>
  <c r="L248" i="10"/>
  <c r="AA247" i="10"/>
  <c r="O247" i="10"/>
  <c r="L247" i="10"/>
  <c r="E75" i="18"/>
  <c r="F74" i="23" s="1"/>
  <c r="M74" i="23" s="1"/>
  <c r="H144" i="19" l="1"/>
  <c r="I144" i="19" s="1"/>
  <c r="M148" i="18"/>
  <c r="H144" i="22"/>
  <c r="I144" i="22" s="1"/>
  <c r="K244" i="18" a="1"/>
  <c r="K244" i="18" s="1"/>
  <c r="K246" i="18" a="1"/>
  <c r="K246" i="18" s="1"/>
  <c r="M246" i="18" s="1"/>
  <c r="K243" i="18" a="1"/>
  <c r="K243" i="18" s="1"/>
  <c r="M243" i="18" s="1"/>
  <c r="M245" i="18"/>
  <c r="M244" i="18"/>
  <c r="F32" i="22"/>
  <c r="M32" i="22" s="1"/>
  <c r="F31" i="22"/>
  <c r="M31" i="22" s="1"/>
  <c r="F30" i="22"/>
  <c r="M30" i="22" s="1"/>
  <c r="F16" i="22"/>
  <c r="M16" i="22" s="1"/>
  <c r="F15" i="22"/>
  <c r="M15" i="22" s="1"/>
  <c r="F14" i="22"/>
  <c r="M14" i="22" s="1"/>
  <c r="F32" i="19"/>
  <c r="M32" i="19" s="1"/>
  <c r="F31" i="19"/>
  <c r="M31" i="19" s="1"/>
  <c r="F30" i="19"/>
  <c r="M30" i="19" s="1"/>
  <c r="M38" i="19"/>
  <c r="M37" i="19"/>
  <c r="M21" i="19"/>
  <c r="E40" i="18"/>
  <c r="F36" i="23" s="1"/>
  <c r="M36" i="23" s="1"/>
  <c r="E38" i="18"/>
  <c r="F34" i="23" s="1"/>
  <c r="M34" i="23" s="1"/>
  <c r="E37" i="18"/>
  <c r="F33" i="23" s="1"/>
  <c r="M33" i="23" s="1"/>
  <c r="M50" i="18"/>
  <c r="I50" i="18"/>
  <c r="H40" i="18"/>
  <c r="H39" i="18"/>
  <c r="H38" i="18"/>
  <c r="H37" i="18"/>
  <c r="H36" i="18"/>
  <c r="H35" i="18"/>
  <c r="H34" i="18"/>
  <c r="I34" i="18" s="1"/>
  <c r="AA40" i="10"/>
  <c r="AA39" i="10"/>
  <c r="AA38" i="10"/>
  <c r="AA37" i="10"/>
  <c r="Z36" i="10"/>
  <c r="AA36" i="10" s="1"/>
  <c r="Z35" i="10"/>
  <c r="AA35" i="10" s="1"/>
  <c r="Z34" i="10"/>
  <c r="AA34" i="10" s="1"/>
  <c r="O40" i="10"/>
  <c r="O39" i="10"/>
  <c r="O38" i="10"/>
  <c r="O37" i="10"/>
  <c r="O36" i="10"/>
  <c r="O35" i="10"/>
  <c r="O34" i="10"/>
  <c r="J38" i="10"/>
  <c r="J36" i="10"/>
  <c r="J35" i="10"/>
  <c r="J34" i="10"/>
  <c r="L40" i="10"/>
  <c r="J40" i="10" s="1"/>
  <c r="L39" i="10"/>
  <c r="J39" i="10" s="1"/>
  <c r="L38" i="10"/>
  <c r="L37" i="10"/>
  <c r="J37" i="10" s="1"/>
  <c r="F239" i="22"/>
  <c r="F238" i="22"/>
  <c r="M238" i="22" s="1"/>
  <c r="F237" i="22"/>
  <c r="M237" i="22" s="1"/>
  <c r="F236" i="22"/>
  <c r="M236" i="22" s="1"/>
  <c r="F239" i="19"/>
  <c r="F238" i="19"/>
  <c r="M238" i="19" s="1"/>
  <c r="F237" i="19"/>
  <c r="M237" i="19" s="1"/>
  <c r="F236" i="19"/>
  <c r="M236" i="19" s="1"/>
  <c r="H242" i="18"/>
  <c r="I242" i="18" s="1"/>
  <c r="H241" i="18"/>
  <c r="I241" i="18" s="1"/>
  <c r="H240" i="18"/>
  <c r="I240" i="18" s="1"/>
  <c r="H239" i="18"/>
  <c r="I239" i="18" s="1"/>
  <c r="AA246" i="10"/>
  <c r="AA245" i="10"/>
  <c r="AA244" i="10"/>
  <c r="AA243" i="10"/>
  <c r="O246" i="10"/>
  <c r="O245" i="10"/>
  <c r="O244" i="10"/>
  <c r="O243" i="10"/>
  <c r="L246" i="10"/>
  <c r="L245" i="10"/>
  <c r="L244" i="10"/>
  <c r="L243" i="10"/>
  <c r="M37" i="22"/>
  <c r="K40" i="18" l="1" a="1"/>
  <c r="K40" i="18" s="1"/>
  <c r="K35" i="18" a="1"/>
  <c r="K35" i="18" s="1"/>
  <c r="K37" i="18" a="1"/>
  <c r="K37" i="18" s="1"/>
  <c r="K36" i="18" a="1"/>
  <c r="K36" i="18" s="1"/>
  <c r="K38" i="18" a="1"/>
  <c r="K38" i="18" s="1"/>
  <c r="K39" i="18" a="1"/>
  <c r="K39" i="18" s="1"/>
  <c r="I35" i="18"/>
  <c r="I36" i="18"/>
  <c r="F34" i="19"/>
  <c r="M34" i="19" s="1"/>
  <c r="F34" i="22"/>
  <c r="M34" i="22" s="1"/>
  <c r="F33" i="19"/>
  <c r="M33" i="19" s="1"/>
  <c r="F36" i="22"/>
  <c r="M36" i="22" s="1"/>
  <c r="F36" i="19"/>
  <c r="M36" i="19" s="1"/>
  <c r="F33" i="22"/>
  <c r="M33" i="22" s="1"/>
  <c r="I37" i="18"/>
  <c r="I40" i="18"/>
  <c r="I38" i="18"/>
  <c r="K34" i="18" a="1"/>
  <c r="K34" i="18" s="1"/>
  <c r="H30" i="23" s="1"/>
  <c r="K241" i="18" a="1"/>
  <c r="K241" i="18" s="1"/>
  <c r="K242" i="18" a="1"/>
  <c r="K242" i="18" s="1"/>
  <c r="H239" i="23" s="1"/>
  <c r="I239" i="23" s="1"/>
  <c r="K240" i="18" a="1"/>
  <c r="K240" i="18" s="1"/>
  <c r="H237" i="23" s="1"/>
  <c r="I237" i="23" s="1"/>
  <c r="K239" i="18" a="1"/>
  <c r="K239" i="18" s="1"/>
  <c r="H236" i="23" s="1"/>
  <c r="I236" i="23" s="1"/>
  <c r="F16" i="19"/>
  <c r="M16" i="19" s="1"/>
  <c r="F15" i="19"/>
  <c r="M15" i="19" s="1"/>
  <c r="F14" i="19"/>
  <c r="M14" i="19" s="1"/>
  <c r="D3" i="20"/>
  <c r="M28" i="22"/>
  <c r="H35" i="22" l="1"/>
  <c r="H35" i="23"/>
  <c r="K235" i="23"/>
  <c r="H34" i="22"/>
  <c r="H34" i="23"/>
  <c r="H36" i="19"/>
  <c r="H36" i="23"/>
  <c r="M241" i="18"/>
  <c r="H238" i="23"/>
  <c r="I238" i="23" s="1"/>
  <c r="H33" i="19"/>
  <c r="H33" i="23"/>
  <c r="H32" i="19"/>
  <c r="H32" i="23"/>
  <c r="H31" i="19"/>
  <c r="H31" i="23"/>
  <c r="M37" i="18"/>
  <c r="H31" i="22"/>
  <c r="H36" i="22"/>
  <c r="M40" i="18"/>
  <c r="M36" i="18"/>
  <c r="H33" i="22"/>
  <c r="H32" i="22"/>
  <c r="M38" i="18"/>
  <c r="H34" i="19"/>
  <c r="M35" i="18"/>
  <c r="H35" i="19"/>
  <c r="I36" i="19"/>
  <c r="H30" i="22"/>
  <c r="H30" i="19"/>
  <c r="M34" i="18"/>
  <c r="I30" i="23" s="1"/>
  <c r="I33" i="22"/>
  <c r="H238" i="19"/>
  <c r="I238" i="19" s="1"/>
  <c r="H238" i="22"/>
  <c r="I238" i="22" s="1"/>
  <c r="H237" i="19"/>
  <c r="I237" i="19" s="1"/>
  <c r="H237" i="22"/>
  <c r="I237" i="22" s="1"/>
  <c r="M242" i="18"/>
  <c r="H239" i="22"/>
  <c r="I239" i="22" s="1"/>
  <c r="H239" i="19"/>
  <c r="M239" i="18"/>
  <c r="H236" i="22"/>
  <c r="I236" i="22" s="1"/>
  <c r="H236" i="19"/>
  <c r="I236" i="19" s="1"/>
  <c r="M240" i="18"/>
  <c r="D2" i="20"/>
  <c r="B6" i="20"/>
  <c r="B5" i="20"/>
  <c r="E30" i="18"/>
  <c r="E29" i="18"/>
  <c r="H30" i="18"/>
  <c r="H29" i="18"/>
  <c r="K29" i="18" s="1" a="1"/>
  <c r="K29" i="18" s="1"/>
  <c r="H28" i="18"/>
  <c r="H27" i="18"/>
  <c r="E20" i="18"/>
  <c r="F26" i="19" s="1"/>
  <c r="M26" i="19" s="1"/>
  <c r="E19" i="18"/>
  <c r="F25" i="19" s="1"/>
  <c r="M25" i="19" s="1"/>
  <c r="E18" i="18"/>
  <c r="F24" i="19" s="1"/>
  <c r="M24" i="19" s="1"/>
  <c r="E17" i="18"/>
  <c r="F23" i="19" s="1"/>
  <c r="M23" i="19" s="1"/>
  <c r="H11" i="18"/>
  <c r="E13" i="18"/>
  <c r="F12" i="23" s="1"/>
  <c r="M12" i="23" s="1"/>
  <c r="E12" i="18"/>
  <c r="F11" i="23" s="1"/>
  <c r="M11" i="23" s="1"/>
  <c r="AA30" i="10"/>
  <c r="AA29" i="10"/>
  <c r="AA28" i="10"/>
  <c r="AA27" i="10"/>
  <c r="O30" i="10"/>
  <c r="O29" i="10"/>
  <c r="O28" i="10"/>
  <c r="O27" i="10"/>
  <c r="L30" i="10"/>
  <c r="J30" i="10" s="1"/>
  <c r="L29" i="10"/>
  <c r="J29" i="10" s="1"/>
  <c r="L28" i="10"/>
  <c r="J28" i="10" s="1"/>
  <c r="L27" i="10"/>
  <c r="J27" i="10" s="1"/>
  <c r="K21" i="10"/>
  <c r="J20" i="10"/>
  <c r="J19" i="10"/>
  <c r="O20" i="10"/>
  <c r="X20" i="10"/>
  <c r="W20" i="10" s="1"/>
  <c r="AA20" i="10"/>
  <c r="O21" i="10"/>
  <c r="X21" i="10"/>
  <c r="W21" i="10" s="1"/>
  <c r="AA21" i="10"/>
  <c r="AA19" i="10"/>
  <c r="X19" i="10"/>
  <c r="W19" i="10" s="1"/>
  <c r="O19" i="10"/>
  <c r="K18" i="10"/>
  <c r="AA18" i="10"/>
  <c r="X18" i="10"/>
  <c r="W18" i="10" s="1"/>
  <c r="O18" i="10"/>
  <c r="AA17" i="10"/>
  <c r="X17" i="10"/>
  <c r="W17" i="10" s="1"/>
  <c r="O17" i="10"/>
  <c r="K17" i="10"/>
  <c r="J17" i="10"/>
  <c r="AA12" i="10"/>
  <c r="X12" i="10"/>
  <c r="W12" i="10" s="1"/>
  <c r="O12" i="10"/>
  <c r="K12" i="10"/>
  <c r="J12" i="10"/>
  <c r="AA11" i="10"/>
  <c r="O11" i="10"/>
  <c r="J11" i="10"/>
  <c r="K229" i="18" a="1"/>
  <c r="K229" i="18" s="1"/>
  <c r="H226" i="23" s="1"/>
  <c r="I226" i="23" s="1"/>
  <c r="K228" i="18" a="1"/>
  <c r="K228" i="18" s="1"/>
  <c r="H225" i="23" s="1"/>
  <c r="I225" i="23" s="1"/>
  <c r="K227" i="18" a="1"/>
  <c r="K227" i="18" s="1"/>
  <c r="H224" i="23" s="1"/>
  <c r="I224" i="23" s="1"/>
  <c r="I32" i="22" l="1"/>
  <c r="I32" i="23"/>
  <c r="F235" i="23"/>
  <c r="J235" i="23"/>
  <c r="M235" i="23"/>
  <c r="F234" i="23"/>
  <c r="M234" i="23" s="1"/>
  <c r="H19" i="22"/>
  <c r="H19" i="23"/>
  <c r="I31" i="19"/>
  <c r="I31" i="23"/>
  <c r="I34" i="22"/>
  <c r="I34" i="23"/>
  <c r="I36" i="22"/>
  <c r="I36" i="23"/>
  <c r="I33" i="19"/>
  <c r="I33" i="23"/>
  <c r="F20" i="22"/>
  <c r="M20" i="22" s="1"/>
  <c r="F20" i="23"/>
  <c r="M20" i="23" s="1"/>
  <c r="F19" i="22"/>
  <c r="M19" i="22" s="1"/>
  <c r="F19" i="23"/>
  <c r="M19" i="23" s="1"/>
  <c r="K30" i="18" a="1"/>
  <c r="K30" i="18" s="1"/>
  <c r="I32" i="19"/>
  <c r="K11" i="18" a="1"/>
  <c r="K11" i="18" s="1"/>
  <c r="H10" i="23" s="1"/>
  <c r="I34" i="19"/>
  <c r="I31" i="22"/>
  <c r="K28" i="18" a="1"/>
  <c r="K28" i="18" s="1"/>
  <c r="K27" i="18" a="1"/>
  <c r="K27" i="18" s="1"/>
  <c r="I30" i="22"/>
  <c r="I30" i="19"/>
  <c r="H19" i="19"/>
  <c r="F19" i="19"/>
  <c r="M19" i="19" s="1"/>
  <c r="F20" i="19"/>
  <c r="M20" i="19" s="1"/>
  <c r="I29" i="18"/>
  <c r="I30" i="18"/>
  <c r="M29" i="18"/>
  <c r="I19" i="23" s="1"/>
  <c r="J21" i="10"/>
  <c r="K20" i="10"/>
  <c r="K19" i="10"/>
  <c r="J18" i="10"/>
  <c r="I77" i="16"/>
  <c r="I76" i="16"/>
  <c r="E236" i="18"/>
  <c r="H20" i="22" l="1"/>
  <c r="H20" i="23"/>
  <c r="H17" i="22"/>
  <c r="H17" i="23"/>
  <c r="M30" i="18"/>
  <c r="I20" i="23" s="1"/>
  <c r="H18" i="22"/>
  <c r="H18" i="23"/>
  <c r="H20" i="19"/>
  <c r="H17" i="19"/>
  <c r="H18" i="19"/>
  <c r="I19" i="22"/>
  <c r="I19" i="19"/>
  <c r="H193" i="18"/>
  <c r="H192" i="18"/>
  <c r="C70" i="20"/>
  <c r="C53" i="20"/>
  <c r="F202" i="22"/>
  <c r="F201" i="22"/>
  <c r="F199" i="22"/>
  <c r="F100" i="22"/>
  <c r="I20" i="22" l="1"/>
  <c r="I20" i="19"/>
  <c r="H32" i="16"/>
  <c r="K36" i="20" l="1"/>
  <c r="K68" i="20"/>
  <c r="P58" i="20"/>
  <c r="P57" i="20"/>
  <c r="K54" i="20"/>
  <c r="P42" i="20"/>
  <c r="K42" i="20"/>
  <c r="P41" i="20"/>
  <c r="F224" i="22" l="1"/>
  <c r="F225" i="22"/>
  <c r="F226" i="22"/>
  <c r="F227" i="22"/>
  <c r="F233" i="22"/>
  <c r="M5" i="19"/>
  <c r="J86" i="16"/>
  <c r="J83" i="16"/>
  <c r="K47" i="20" l="1"/>
  <c r="I47" i="20"/>
  <c r="F168" i="22"/>
  <c r="M168" i="22" s="1"/>
  <c r="F169" i="22"/>
  <c r="M169" i="22" s="1"/>
  <c r="F167" i="22"/>
  <c r="M167" i="22" s="1"/>
  <c r="F170" i="22"/>
  <c r="M170" i="22" s="1"/>
  <c r="F155" i="22"/>
  <c r="F156" i="22"/>
  <c r="F157" i="22"/>
  <c r="F154" i="22"/>
  <c r="F168" i="19"/>
  <c r="M168" i="19" s="1"/>
  <c r="F169" i="19"/>
  <c r="M169" i="19" s="1"/>
  <c r="F167" i="19"/>
  <c r="M167" i="19" s="1"/>
  <c r="M170" i="19"/>
  <c r="H170" i="18"/>
  <c r="H171" i="18"/>
  <c r="H169" i="18"/>
  <c r="K51" i="20" l="1"/>
  <c r="K52" i="20"/>
  <c r="I59" i="20"/>
  <c r="I56" i="20"/>
  <c r="I58" i="20"/>
  <c r="I57" i="20"/>
  <c r="H158" i="18" l="1"/>
  <c r="K158" i="18" s="1" a="1"/>
  <c r="K158" i="18" s="1"/>
  <c r="H159" i="18"/>
  <c r="H160" i="18"/>
  <c r="H157" i="18"/>
  <c r="K157" i="18" s="1" a="1"/>
  <c r="K157" i="18" s="1"/>
  <c r="H155" i="22" l="1"/>
  <c r="H155" i="23"/>
  <c r="I155" i="23" s="1"/>
  <c r="H154" i="22"/>
  <c r="H154" i="23"/>
  <c r="I154" i="23" s="1"/>
  <c r="H155" i="19"/>
  <c r="H154" i="19"/>
  <c r="F157" i="19"/>
  <c r="F156" i="19"/>
  <c r="F155" i="19"/>
  <c r="F154" i="19"/>
  <c r="I160" i="18"/>
  <c r="I159" i="18"/>
  <c r="M158" i="18"/>
  <c r="I158" i="18"/>
  <c r="M157" i="18"/>
  <c r="I157" i="18"/>
  <c r="Z172" i="10"/>
  <c r="AA172" i="10" s="1"/>
  <c r="Z173" i="10"/>
  <c r="AA173" i="10" s="1"/>
  <c r="O172" i="10"/>
  <c r="K169" i="18" s="1" a="1"/>
  <c r="K169" i="18" s="1"/>
  <c r="H167" i="23" s="1"/>
  <c r="I167" i="23" s="1"/>
  <c r="O173" i="10"/>
  <c r="K170" i="18" s="1" a="1"/>
  <c r="K170" i="18" s="1"/>
  <c r="H168" i="23" s="1"/>
  <c r="I168" i="23" s="1"/>
  <c r="J172" i="10"/>
  <c r="J173" i="10"/>
  <c r="Z174" i="10"/>
  <c r="AA174" i="10" s="1"/>
  <c r="X174" i="10"/>
  <c r="W174" i="10" s="1"/>
  <c r="O174" i="10"/>
  <c r="K171" i="18" s="1" a="1"/>
  <c r="K171" i="18" s="1"/>
  <c r="H169" i="23" s="1"/>
  <c r="I169" i="23" s="1"/>
  <c r="K174" i="10"/>
  <c r="J174" i="10"/>
  <c r="J182" i="10"/>
  <c r="J183" i="10"/>
  <c r="J166" i="23" l="1"/>
  <c r="H168" i="22"/>
  <c r="I168" i="22" s="1"/>
  <c r="H168" i="19"/>
  <c r="I168" i="19" s="1"/>
  <c r="H169" i="19"/>
  <c r="I169" i="19" s="1"/>
  <c r="H169" i="22"/>
  <c r="I169" i="22" s="1"/>
  <c r="H167" i="19"/>
  <c r="I167" i="19" s="1"/>
  <c r="H167" i="22"/>
  <c r="I167" i="22" s="1"/>
  <c r="F195" i="22"/>
  <c r="M166" i="23" l="1"/>
  <c r="F166" i="23"/>
  <c r="J166" i="22"/>
  <c r="F166" i="22" s="1"/>
  <c r="J166" i="19"/>
  <c r="M160" i="22"/>
  <c r="M165" i="22"/>
  <c r="M93" i="22"/>
  <c r="M106" i="22"/>
  <c r="M113" i="22"/>
  <c r="M119" i="22"/>
  <c r="D100" i="22"/>
  <c r="M49" i="22"/>
  <c r="M51" i="22"/>
  <c r="M52" i="22"/>
  <c r="M54" i="22"/>
  <c r="M55" i="22"/>
  <c r="M166" i="22" l="1"/>
  <c r="F166" i="19"/>
  <c r="M166" i="19"/>
  <c r="M160" i="19"/>
  <c r="M165" i="19"/>
  <c r="M93" i="19"/>
  <c r="M100" i="19"/>
  <c r="M106" i="19"/>
  <c r="M113" i="19"/>
  <c r="M119" i="19"/>
  <c r="E70" i="18"/>
  <c r="E55" i="18" l="1"/>
  <c r="E54" i="18"/>
  <c r="F50" i="19" s="1"/>
  <c r="E217" i="18"/>
  <c r="E216" i="18"/>
  <c r="E215" i="18"/>
  <c r="E214" i="18"/>
  <c r="E213" i="18"/>
  <c r="E193" i="18"/>
  <c r="E192" i="18"/>
  <c r="K183" i="10"/>
  <c r="K182" i="10"/>
  <c r="O182" i="10"/>
  <c r="O183" i="10"/>
  <c r="Z182" i="10"/>
  <c r="AA182" i="10" s="1"/>
  <c r="Z183" i="10"/>
  <c r="AA183" i="10" s="1"/>
  <c r="X183" i="10"/>
  <c r="W183" i="10" s="1"/>
  <c r="X182" i="10"/>
  <c r="W182" i="10" s="1"/>
  <c r="E176" i="18"/>
  <c r="E174" i="18"/>
  <c r="H164" i="18"/>
  <c r="H165" i="18"/>
  <c r="H166" i="18"/>
  <c r="H163" i="18"/>
  <c r="E166" i="18"/>
  <c r="E165" i="18"/>
  <c r="E164" i="18"/>
  <c r="E128" i="18"/>
  <c r="E127" i="18" a="1"/>
  <c r="E127" i="18" s="1"/>
  <c r="E126" i="18" a="1"/>
  <c r="E126" i="18" s="1"/>
  <c r="E123" i="18"/>
  <c r="E122" i="18"/>
  <c r="E121" i="18"/>
  <c r="E120" i="18"/>
  <c r="E115" i="18"/>
  <c r="E116" i="18"/>
  <c r="E117" i="18"/>
  <c r="E114" i="18"/>
  <c r="E107" i="18"/>
  <c r="E108" i="18"/>
  <c r="E109" i="18"/>
  <c r="E106" i="18"/>
  <c r="E101" i="18"/>
  <c r="E102" i="18"/>
  <c r="E103" i="18"/>
  <c r="E100" i="18"/>
  <c r="H55" i="18"/>
  <c r="H54" i="18"/>
  <c r="F97" i="19" l="1"/>
  <c r="F97" i="22"/>
  <c r="M97" i="22" s="1"/>
  <c r="F99" i="19"/>
  <c r="F99" i="22"/>
  <c r="M99" i="22" s="1"/>
  <c r="M100" i="22"/>
  <c r="F98" i="19"/>
  <c r="F98" i="22"/>
  <c r="M98" i="22" s="1"/>
  <c r="F102" i="22"/>
  <c r="M102" i="22" s="1"/>
  <c r="F102" i="19"/>
  <c r="F163" i="22"/>
  <c r="F163" i="19"/>
  <c r="F105" i="22"/>
  <c r="M105" i="22" s="1"/>
  <c r="F105" i="19"/>
  <c r="F164" i="22"/>
  <c r="F164" i="19"/>
  <c r="F104" i="19"/>
  <c r="F104" i="22"/>
  <c r="M104" i="22" s="1"/>
  <c r="F162" i="22"/>
  <c r="F162" i="19"/>
  <c r="F103" i="19"/>
  <c r="F103" i="22"/>
  <c r="M103" i="22" s="1"/>
  <c r="F96" i="19"/>
  <c r="F96" i="22"/>
  <c r="M96" i="22" s="1"/>
  <c r="F118" i="19"/>
  <c r="F118" i="22"/>
  <c r="M118" i="22" s="1"/>
  <c r="F117" i="19"/>
  <c r="F117" i="22"/>
  <c r="M117" i="22" s="1"/>
  <c r="F116" i="19"/>
  <c r="F116" i="22"/>
  <c r="M116" i="22" s="1"/>
  <c r="F115" i="22"/>
  <c r="M115" i="22" s="1"/>
  <c r="F115" i="19"/>
  <c r="F112" i="22"/>
  <c r="M112" i="22" s="1"/>
  <c r="F112" i="19"/>
  <c r="F111" i="22"/>
  <c r="M111" i="22" s="1"/>
  <c r="F111" i="19"/>
  <c r="F110" i="22"/>
  <c r="M110" i="22" s="1"/>
  <c r="F110" i="19"/>
  <c r="F109" i="19"/>
  <c r="F109" i="22"/>
  <c r="M109" i="22" s="1"/>
  <c r="I55" i="18"/>
  <c r="F53" i="22"/>
  <c r="M53" i="22" s="1"/>
  <c r="I54" i="18"/>
  <c r="F50" i="22"/>
  <c r="M50" i="22" s="1"/>
  <c r="M163" i="22" l="1"/>
  <c r="M162" i="22"/>
  <c r="M164" i="22"/>
  <c r="Z169" i="10"/>
  <c r="AA169" i="10" s="1"/>
  <c r="X169" i="10"/>
  <c r="W169" i="10" s="1"/>
  <c r="O169" i="10"/>
  <c r="K166" i="18" s="1" a="1"/>
  <c r="K166" i="18" s="1"/>
  <c r="H164" i="23" s="1"/>
  <c r="I164" i="23" s="1"/>
  <c r="K169" i="10"/>
  <c r="J169" i="10"/>
  <c r="Z168" i="10"/>
  <c r="AA168" i="10" s="1"/>
  <c r="X168" i="10"/>
  <c r="W168" i="10" s="1"/>
  <c r="O168" i="10"/>
  <c r="K165" i="18" s="1" a="1"/>
  <c r="K165" i="18" s="1"/>
  <c r="H163" i="23" s="1"/>
  <c r="I163" i="23" s="1"/>
  <c r="K168" i="10"/>
  <c r="J168" i="10"/>
  <c r="Z167" i="10"/>
  <c r="AA167" i="10" s="1"/>
  <c r="X167" i="10"/>
  <c r="W167" i="10" s="1"/>
  <c r="O167" i="10"/>
  <c r="K164" i="18" s="1" a="1"/>
  <c r="K164" i="18" s="1"/>
  <c r="H162" i="23" s="1"/>
  <c r="I162" i="23" s="1"/>
  <c r="K167" i="10"/>
  <c r="J167" i="10"/>
  <c r="Z166" i="10"/>
  <c r="AA166" i="10" s="1"/>
  <c r="X166" i="10"/>
  <c r="W166" i="10" s="1"/>
  <c r="O166" i="10"/>
  <c r="K163" i="18" s="1" a="1"/>
  <c r="K163" i="18" s="1"/>
  <c r="K166" i="10"/>
  <c r="J166" i="10"/>
  <c r="Z56" i="10"/>
  <c r="AA56" i="10" s="1"/>
  <c r="X56" i="10"/>
  <c r="W56" i="10" s="1"/>
  <c r="O56" i="10"/>
  <c r="K55" i="18" s="1" a="1"/>
  <c r="K55" i="18" s="1"/>
  <c r="H53" i="23" s="1"/>
  <c r="K56" i="10"/>
  <c r="J56" i="10"/>
  <c r="Z55" i="10"/>
  <c r="AA55" i="10" s="1"/>
  <c r="X55" i="10"/>
  <c r="W55" i="10" s="1"/>
  <c r="O55" i="10"/>
  <c r="K54" i="18" s="1" a="1"/>
  <c r="K54" i="18" s="1"/>
  <c r="H50" i="23" s="1"/>
  <c r="K55" i="10"/>
  <c r="J55" i="10"/>
  <c r="F146" i="19"/>
  <c r="H161" i="22" l="1"/>
  <c r="H161" i="23"/>
  <c r="I161" i="23" s="1"/>
  <c r="K159" i="23" s="1"/>
  <c r="H162" i="19"/>
  <c r="I162" i="19" s="1"/>
  <c r="H162" i="22"/>
  <c r="I162" i="22" s="1"/>
  <c r="H50" i="22"/>
  <c r="M54" i="18"/>
  <c r="H53" i="22"/>
  <c r="M55" i="18"/>
  <c r="H164" i="19"/>
  <c r="I164" i="19" s="1"/>
  <c r="H164" i="22"/>
  <c r="I164" i="22" s="1"/>
  <c r="H163" i="19"/>
  <c r="I163" i="19" s="1"/>
  <c r="H163" i="22"/>
  <c r="I163" i="22" s="1"/>
  <c r="M165" i="18"/>
  <c r="I165" i="18"/>
  <c r="M163" i="19"/>
  <c r="I166" i="18"/>
  <c r="M116" i="19"/>
  <c r="M115" i="19"/>
  <c r="M110" i="19"/>
  <c r="M109" i="19"/>
  <c r="M102" i="19"/>
  <c r="M99" i="19"/>
  <c r="M96" i="19"/>
  <c r="M55" i="19"/>
  <c r="M51" i="19"/>
  <c r="M52" i="19"/>
  <c r="M54" i="19"/>
  <c r="M50" i="19"/>
  <c r="H53" i="19"/>
  <c r="H50" i="19"/>
  <c r="I53" i="22" l="1"/>
  <c r="I53" i="23"/>
  <c r="I50" i="22"/>
  <c r="I50" i="23"/>
  <c r="K48" i="23" s="1"/>
  <c r="M159" i="23"/>
  <c r="F159" i="23"/>
  <c r="I50" i="19"/>
  <c r="I53" i="19"/>
  <c r="K48" i="22"/>
  <c r="M166" i="18"/>
  <c r="M164" i="19"/>
  <c r="E43" i="16"/>
  <c r="I79" i="16"/>
  <c r="E67" i="18" s="1"/>
  <c r="F66" i="23" s="1"/>
  <c r="M66" i="23" s="1"/>
  <c r="E60" i="18"/>
  <c r="F59" i="23" s="1"/>
  <c r="M59" i="23" s="1"/>
  <c r="H179" i="18"/>
  <c r="K179" i="18" s="1" a="1"/>
  <c r="K179" i="18" s="1"/>
  <c r="H177" i="23" s="1"/>
  <c r="I177" i="23" s="1"/>
  <c r="E179" i="18"/>
  <c r="H178" i="18"/>
  <c r="K178" i="18" s="1" a="1"/>
  <c r="K178" i="18" s="1"/>
  <c r="H176" i="23" s="1"/>
  <c r="I176" i="23" s="1"/>
  <c r="E178" i="18"/>
  <c r="H161" i="19"/>
  <c r="E163" i="18"/>
  <c r="H123" i="18"/>
  <c r="H122" i="18"/>
  <c r="H121" i="18"/>
  <c r="M118" i="19"/>
  <c r="H120" i="18"/>
  <c r="M117" i="19"/>
  <c r="H118" i="18"/>
  <c r="H117" i="18"/>
  <c r="H116" i="18"/>
  <c r="H115" i="18"/>
  <c r="M112" i="19"/>
  <c r="H114" i="18"/>
  <c r="M111" i="19"/>
  <c r="H109" i="18"/>
  <c r="H108" i="18"/>
  <c r="M105" i="19"/>
  <c r="H107" i="18"/>
  <c r="M104" i="19"/>
  <c r="H106" i="18"/>
  <c r="M103" i="19"/>
  <c r="H104" i="18"/>
  <c r="H103" i="18"/>
  <c r="H102" i="18"/>
  <c r="H101" i="18"/>
  <c r="M98" i="19"/>
  <c r="H100" i="18"/>
  <c r="M97" i="19"/>
  <c r="H126" i="18"/>
  <c r="I80" i="16"/>
  <c r="E68" i="18" s="1"/>
  <c r="F67" i="23" s="1"/>
  <c r="M67" i="23" s="1"/>
  <c r="M48" i="23" l="1"/>
  <c r="F48" i="23"/>
  <c r="K48" i="19"/>
  <c r="M48" i="19" s="1"/>
  <c r="F48" i="22"/>
  <c r="M48" i="22"/>
  <c r="I116" i="18"/>
  <c r="I118" i="18"/>
  <c r="K118" i="18" a="1"/>
  <c r="K118" i="18" s="1"/>
  <c r="M118" i="18" s="1"/>
  <c r="I102" i="18"/>
  <c r="I104" i="18"/>
  <c r="K104" i="18" a="1"/>
  <c r="K104" i="18" s="1"/>
  <c r="H100" i="22" s="1"/>
  <c r="H176" i="19"/>
  <c r="H176" i="22"/>
  <c r="H177" i="19"/>
  <c r="H177" i="22"/>
  <c r="F161" i="19"/>
  <c r="M161" i="19" s="1"/>
  <c r="F161" i="22"/>
  <c r="F177" i="22"/>
  <c r="F177" i="19"/>
  <c r="F176" i="19"/>
  <c r="F176" i="22"/>
  <c r="M162" i="19"/>
  <c r="I179" i="18"/>
  <c r="M179" i="18"/>
  <c r="I178" i="18"/>
  <c r="M178" i="18"/>
  <c r="M163" i="18"/>
  <c r="M164" i="18"/>
  <c r="I163" i="18"/>
  <c r="I164" i="18"/>
  <c r="I114" i="18"/>
  <c r="I120" i="18"/>
  <c r="I121" i="18"/>
  <c r="I122" i="18"/>
  <c r="I109" i="18"/>
  <c r="I117" i="18"/>
  <c r="I115" i="18"/>
  <c r="I123" i="18"/>
  <c r="I106" i="18"/>
  <c r="I108" i="18"/>
  <c r="I107" i="18"/>
  <c r="I100" i="18"/>
  <c r="I101" i="18"/>
  <c r="I103" i="18"/>
  <c r="I126" i="18"/>
  <c r="M104" i="18" l="1"/>
  <c r="I100" i="22" s="1"/>
  <c r="I161" i="19"/>
  <c r="I161" i="22"/>
  <c r="M161" i="22"/>
  <c r="M177" i="19"/>
  <c r="I177" i="19"/>
  <c r="M177" i="22"/>
  <c r="I177" i="22"/>
  <c r="M176" i="22"/>
  <c r="I176" i="22"/>
  <c r="M176" i="19"/>
  <c r="I176" i="19"/>
  <c r="K159" i="22" l="1"/>
  <c r="K159" i="19"/>
  <c r="F53" i="19"/>
  <c r="M53" i="19" s="1"/>
  <c r="AA124" i="10"/>
  <c r="X124" i="10"/>
  <c r="W124" i="10" s="1"/>
  <c r="O124" i="10"/>
  <c r="K123" i="18" s="1" a="1"/>
  <c r="K123" i="18" s="1"/>
  <c r="H118" i="23" s="1"/>
  <c r="K124" i="10"/>
  <c r="J124" i="10"/>
  <c r="AA123" i="10"/>
  <c r="X123" i="10"/>
  <c r="W123" i="10" s="1"/>
  <c r="O123" i="10"/>
  <c r="K122" i="18" s="1" a="1"/>
  <c r="K122" i="18" s="1"/>
  <c r="H117" i="23" s="1"/>
  <c r="K123" i="10"/>
  <c r="J123" i="10"/>
  <c r="AA122" i="10"/>
  <c r="X122" i="10"/>
  <c r="W122" i="10" s="1"/>
  <c r="O122" i="10"/>
  <c r="K121" i="18" s="1" a="1"/>
  <c r="K121" i="18" s="1"/>
  <c r="H116" i="23" s="1"/>
  <c r="K122" i="10"/>
  <c r="J122" i="10"/>
  <c r="AA121" i="10"/>
  <c r="X121" i="10"/>
  <c r="W121" i="10" s="1"/>
  <c r="Q121" i="10"/>
  <c r="O121" i="10"/>
  <c r="K120" i="18" s="1" a="1"/>
  <c r="K120" i="18" s="1"/>
  <c r="H115" i="23" s="1"/>
  <c r="K121" i="10"/>
  <c r="J121" i="10"/>
  <c r="AA118" i="10"/>
  <c r="X118" i="10"/>
  <c r="W118" i="10" s="1"/>
  <c r="O118" i="10"/>
  <c r="K117" i="18" s="1" a="1"/>
  <c r="K117" i="18" s="1"/>
  <c r="H112" i="23" s="1"/>
  <c r="K118" i="10"/>
  <c r="J118" i="10"/>
  <c r="AA117" i="10"/>
  <c r="X117" i="10"/>
  <c r="W117" i="10" s="1"/>
  <c r="O117" i="10"/>
  <c r="K116" i="18" s="1" a="1"/>
  <c r="K116" i="18" s="1"/>
  <c r="H111" i="23" s="1"/>
  <c r="K117" i="10"/>
  <c r="J117" i="10"/>
  <c r="AA116" i="10"/>
  <c r="X116" i="10"/>
  <c r="W116" i="10" s="1"/>
  <c r="T116" i="10"/>
  <c r="Q116" i="10"/>
  <c r="O116" i="10"/>
  <c r="K115" i="18" s="1" a="1"/>
  <c r="K115" i="18" s="1"/>
  <c r="H110" i="23" s="1"/>
  <c r="K116" i="10"/>
  <c r="J116" i="10"/>
  <c r="AA115" i="10"/>
  <c r="X115" i="10"/>
  <c r="W115" i="10" s="1"/>
  <c r="O115" i="10"/>
  <c r="K114" i="18" s="1" a="1"/>
  <c r="K114" i="18" s="1"/>
  <c r="H109" i="23" s="1"/>
  <c r="K115" i="10"/>
  <c r="J115" i="10"/>
  <c r="AA110" i="10"/>
  <c r="X110" i="10"/>
  <c r="W110" i="10" s="1"/>
  <c r="O110" i="10"/>
  <c r="K109" i="18" s="1" a="1"/>
  <c r="K109" i="18" s="1"/>
  <c r="H105" i="23" s="1"/>
  <c r="K110" i="10"/>
  <c r="J110" i="10"/>
  <c r="AA109" i="10"/>
  <c r="X109" i="10"/>
  <c r="W109" i="10" s="1"/>
  <c r="O109" i="10"/>
  <c r="K108" i="18" s="1" a="1"/>
  <c r="K108" i="18" s="1"/>
  <c r="H104" i="23" s="1"/>
  <c r="K109" i="10"/>
  <c r="J109" i="10"/>
  <c r="AA108" i="10"/>
  <c r="X108" i="10"/>
  <c r="W108" i="10" s="1"/>
  <c r="O108" i="10"/>
  <c r="K107" i="18" s="1" a="1"/>
  <c r="K107" i="18" s="1"/>
  <c r="H103" i="23" s="1"/>
  <c r="K108" i="10"/>
  <c r="J108" i="10"/>
  <c r="AA107" i="10"/>
  <c r="X107" i="10"/>
  <c r="W107" i="10" s="1"/>
  <c r="Q107" i="10"/>
  <c r="O107" i="10"/>
  <c r="K106" i="18" s="1" a="1"/>
  <c r="K106" i="18" s="1"/>
  <c r="H102" i="23" s="1"/>
  <c r="K107" i="10"/>
  <c r="J107" i="10"/>
  <c r="AA104" i="10"/>
  <c r="X104" i="10"/>
  <c r="W104" i="10" s="1"/>
  <c r="O104" i="10"/>
  <c r="K103" i="18" s="1" a="1"/>
  <c r="K103" i="18" s="1"/>
  <c r="H99" i="23" s="1"/>
  <c r="K104" i="10"/>
  <c r="J104" i="10"/>
  <c r="AA103" i="10"/>
  <c r="X103" i="10"/>
  <c r="W103" i="10" s="1"/>
  <c r="O103" i="10"/>
  <c r="K102" i="18" s="1" a="1"/>
  <c r="K102" i="18" s="1"/>
  <c r="H98" i="23" s="1"/>
  <c r="K103" i="10"/>
  <c r="J103" i="10"/>
  <c r="AA102" i="10"/>
  <c r="X102" i="10"/>
  <c r="W102" i="10" s="1"/>
  <c r="T102" i="10"/>
  <c r="Q102" i="10"/>
  <c r="O102" i="10"/>
  <c r="K101" i="18" s="1" a="1"/>
  <c r="K101" i="18" s="1"/>
  <c r="H97" i="23" s="1"/>
  <c r="K102" i="10"/>
  <c r="J102" i="10"/>
  <c r="AA101" i="10"/>
  <c r="X101" i="10"/>
  <c r="W101" i="10" s="1"/>
  <c r="O101" i="10"/>
  <c r="K100" i="18" s="1" a="1"/>
  <c r="K100" i="18" s="1"/>
  <c r="H96" i="23" s="1"/>
  <c r="K101" i="10"/>
  <c r="J101" i="10"/>
  <c r="H96" i="19" l="1"/>
  <c r="H96" i="22"/>
  <c r="M100" i="18"/>
  <c r="I96" i="23" s="1"/>
  <c r="H110" i="19"/>
  <c r="H110" i="22"/>
  <c r="M115" i="18"/>
  <c r="I110" i="23" s="1"/>
  <c r="M108" i="18"/>
  <c r="I104" i="23" s="1"/>
  <c r="H104" i="22"/>
  <c r="H104" i="19"/>
  <c r="M120" i="18"/>
  <c r="I115" i="23" s="1"/>
  <c r="H115" i="22"/>
  <c r="H115" i="19"/>
  <c r="H118" i="22"/>
  <c r="H118" i="19"/>
  <c r="M123" i="18"/>
  <c r="I118" i="23" s="1"/>
  <c r="M116" i="18"/>
  <c r="I111" i="23" s="1"/>
  <c r="H111" i="19"/>
  <c r="H111" i="22"/>
  <c r="M114" i="18"/>
  <c r="I109" i="23" s="1"/>
  <c r="H109" i="19"/>
  <c r="H109" i="22"/>
  <c r="H99" i="22"/>
  <c r="H99" i="19"/>
  <c r="M103" i="18"/>
  <c r="I99" i="23" s="1"/>
  <c r="H112" i="19"/>
  <c r="H112" i="22"/>
  <c r="M117" i="18"/>
  <c r="I112" i="23" s="1"/>
  <c r="H117" i="22"/>
  <c r="M122" i="18"/>
  <c r="I117" i="23" s="1"/>
  <c r="H117" i="19"/>
  <c r="H116" i="22"/>
  <c r="H116" i="19"/>
  <c r="M121" i="18"/>
  <c r="I116" i="23" s="1"/>
  <c r="M102" i="18"/>
  <c r="I98" i="23" s="1"/>
  <c r="H98" i="19"/>
  <c r="H98" i="22"/>
  <c r="H97" i="22"/>
  <c r="M101" i="18"/>
  <c r="I97" i="23" s="1"/>
  <c r="H97" i="19"/>
  <c r="H103" i="22"/>
  <c r="M107" i="18"/>
  <c r="I103" i="23" s="1"/>
  <c r="H103" i="19"/>
  <c r="H102" i="19"/>
  <c r="H102" i="22"/>
  <c r="M106" i="18"/>
  <c r="I102" i="23" s="1"/>
  <c r="H105" i="22"/>
  <c r="M109" i="18"/>
  <c r="I105" i="23" s="1"/>
  <c r="H105" i="19"/>
  <c r="F159" i="22"/>
  <c r="M159" i="22"/>
  <c r="F159" i="19"/>
  <c r="M159" i="19"/>
  <c r="H12" i="18"/>
  <c r="K12" i="18" s="1" a="1"/>
  <c r="K12" i="18" s="1"/>
  <c r="H11" i="23" s="1"/>
  <c r="H10" i="18"/>
  <c r="F224" i="19"/>
  <c r="F225" i="19"/>
  <c r="F226" i="19"/>
  <c r="F233" i="19"/>
  <c r="F202" i="19"/>
  <c r="F201" i="19"/>
  <c r="F199" i="19"/>
  <c r="H217" i="10"/>
  <c r="H213" i="18" s="1"/>
  <c r="E49" i="18"/>
  <c r="H49" i="18"/>
  <c r="Z50" i="10"/>
  <c r="AA50" i="10" s="1"/>
  <c r="X50" i="10"/>
  <c r="W50" i="10" s="1"/>
  <c r="O50" i="10"/>
  <c r="K50" i="10"/>
  <c r="J50" i="10"/>
  <c r="J101" i="23" l="1"/>
  <c r="J108" i="23"/>
  <c r="J95" i="23"/>
  <c r="J114" i="23"/>
  <c r="I111" i="22"/>
  <c r="I111" i="19"/>
  <c r="I105" i="22"/>
  <c r="I105" i="19"/>
  <c r="I118" i="22"/>
  <c r="I118" i="19"/>
  <c r="I104" i="22"/>
  <c r="I104" i="19"/>
  <c r="I97" i="19"/>
  <c r="I97" i="22"/>
  <c r="I110" i="22"/>
  <c r="I110" i="19"/>
  <c r="I102" i="19"/>
  <c r="I102" i="22"/>
  <c r="I117" i="22"/>
  <c r="I117" i="19"/>
  <c r="K49" i="18" a="1"/>
  <c r="K49" i="18" s="1"/>
  <c r="H46" i="23" s="1"/>
  <c r="I112" i="19"/>
  <c r="I112" i="22"/>
  <c r="I109" i="19"/>
  <c r="I109" i="22"/>
  <c r="I96" i="22"/>
  <c r="I96" i="19"/>
  <c r="I99" i="19"/>
  <c r="I99" i="22"/>
  <c r="I98" i="22"/>
  <c r="I98" i="19"/>
  <c r="I115" i="22"/>
  <c r="I115" i="19"/>
  <c r="I103" i="22"/>
  <c r="I103" i="19"/>
  <c r="I116" i="22"/>
  <c r="I116" i="19"/>
  <c r="F26" i="22"/>
  <c r="I49" i="18"/>
  <c r="E177" i="18"/>
  <c r="M101" i="23" l="1"/>
  <c r="F101" i="23"/>
  <c r="F114" i="23"/>
  <c r="M114" i="23"/>
  <c r="K94" i="23"/>
  <c r="F95" i="23"/>
  <c r="M95" i="23"/>
  <c r="F108" i="23"/>
  <c r="M108" i="23"/>
  <c r="K107" i="23"/>
  <c r="J108" i="19"/>
  <c r="F108" i="19" s="1"/>
  <c r="J95" i="19"/>
  <c r="J95" i="22"/>
  <c r="J101" i="22"/>
  <c r="J114" i="19"/>
  <c r="J108" i="22"/>
  <c r="J101" i="19"/>
  <c r="J114" i="22"/>
  <c r="F61" i="22"/>
  <c r="M61" i="22" s="1"/>
  <c r="F123" i="22"/>
  <c r="M123" i="22" s="1"/>
  <c r="F124" i="22"/>
  <c r="F122" i="22"/>
  <c r="M122" i="22" s="1"/>
  <c r="M242" i="22"/>
  <c r="M240" i="22"/>
  <c r="M239" i="22"/>
  <c r="M233" i="22"/>
  <c r="M231" i="22"/>
  <c r="M227" i="22"/>
  <c r="H227" i="22"/>
  <c r="I227" i="22" s="1"/>
  <c r="M226" i="22"/>
  <c r="M225" i="22"/>
  <c r="M224" i="22"/>
  <c r="M221" i="22"/>
  <c r="F218" i="22"/>
  <c r="M218" i="22" s="1"/>
  <c r="F217" i="22"/>
  <c r="M217" i="22" s="1"/>
  <c r="F216" i="22"/>
  <c r="M216" i="22" s="1"/>
  <c r="F215" i="22"/>
  <c r="M215" i="22" s="1"/>
  <c r="M209" i="22"/>
  <c r="F206" i="22"/>
  <c r="M206" i="22" s="1"/>
  <c r="F205" i="22"/>
  <c r="M205" i="22" s="1"/>
  <c r="F204" i="22"/>
  <c r="M204" i="22" s="1"/>
  <c r="M203" i="22"/>
  <c r="M202" i="22"/>
  <c r="M201" i="22"/>
  <c r="M200" i="22"/>
  <c r="M199" i="22"/>
  <c r="F198" i="22"/>
  <c r="M198" i="22" s="1"/>
  <c r="M197" i="22"/>
  <c r="F196" i="22"/>
  <c r="M196" i="22" s="1"/>
  <c r="M195" i="22"/>
  <c r="M194" i="22"/>
  <c r="F191" i="22"/>
  <c r="M191" i="22" s="1"/>
  <c r="M188" i="22"/>
  <c r="F175" i="22"/>
  <c r="M175" i="22" s="1"/>
  <c r="F174" i="22"/>
  <c r="M174" i="22" s="1"/>
  <c r="F173" i="22"/>
  <c r="M173" i="22" s="1"/>
  <c r="M157" i="22"/>
  <c r="M156" i="22"/>
  <c r="M155" i="22"/>
  <c r="M154" i="22"/>
  <c r="Z153" i="22"/>
  <c r="M152" i="22"/>
  <c r="F143" i="22"/>
  <c r="M143" i="22" s="1"/>
  <c r="F142" i="22"/>
  <c r="M142" i="22" s="1"/>
  <c r="F141" i="22"/>
  <c r="M141" i="22" s="1"/>
  <c r="F140" i="22"/>
  <c r="M140" i="22" s="1"/>
  <c r="F139" i="22"/>
  <c r="M139" i="22" s="1"/>
  <c r="F138" i="22"/>
  <c r="M138" i="22" s="1"/>
  <c r="F137" i="22"/>
  <c r="M137" i="22" s="1"/>
  <c r="F136" i="22"/>
  <c r="M136" i="22" s="1"/>
  <c r="F135" i="22"/>
  <c r="M135" i="22" s="1"/>
  <c r="F134" i="22"/>
  <c r="M134" i="22" s="1"/>
  <c r="F133" i="22"/>
  <c r="M133" i="22" s="1"/>
  <c r="F132" i="22"/>
  <c r="M132" i="22" s="1"/>
  <c r="F131" i="22"/>
  <c r="M131" i="22" s="1"/>
  <c r="F130" i="22"/>
  <c r="M130" i="22" s="1"/>
  <c r="F129" i="22"/>
  <c r="M129" i="22" s="1"/>
  <c r="F128" i="22"/>
  <c r="M128" i="22" s="1"/>
  <c r="F127" i="22"/>
  <c r="M127" i="22" s="1"/>
  <c r="F126" i="22"/>
  <c r="M126" i="22" s="1"/>
  <c r="F125" i="22"/>
  <c r="M125" i="22" s="1"/>
  <c r="F87" i="22"/>
  <c r="M87" i="22" s="1"/>
  <c r="D87" i="22"/>
  <c r="M78" i="22"/>
  <c r="F76" i="22"/>
  <c r="M76" i="22" s="1"/>
  <c r="F75" i="22"/>
  <c r="M75" i="22" s="1"/>
  <c r="F74" i="22"/>
  <c r="M74" i="22" s="1"/>
  <c r="F73" i="22"/>
  <c r="M73" i="22" s="1"/>
  <c r="F72" i="22"/>
  <c r="M72" i="22" s="1"/>
  <c r="F71" i="22"/>
  <c r="M71" i="22" s="1"/>
  <c r="F68" i="22"/>
  <c r="M68" i="22" s="1"/>
  <c r="F60" i="22"/>
  <c r="M60" i="22" s="1"/>
  <c r="M58" i="22"/>
  <c r="M47" i="22"/>
  <c r="F46" i="22"/>
  <c r="M46" i="22" s="1"/>
  <c r="F42" i="22"/>
  <c r="M42" i="22" s="1"/>
  <c r="M40" i="22"/>
  <c r="F38" i="22"/>
  <c r="M38" i="22" s="1"/>
  <c r="M26" i="22"/>
  <c r="M5" i="22"/>
  <c r="M4" i="22"/>
  <c r="M94" i="23" l="1"/>
  <c r="F94" i="23"/>
  <c r="M107" i="23"/>
  <c r="F107" i="23"/>
  <c r="M108" i="19"/>
  <c r="F114" i="22"/>
  <c r="M114" i="22"/>
  <c r="F114" i="19"/>
  <c r="M114" i="19"/>
  <c r="M95" i="19"/>
  <c r="K94" i="19"/>
  <c r="F95" i="19"/>
  <c r="M101" i="19"/>
  <c r="F101" i="19"/>
  <c r="F108" i="22"/>
  <c r="M108" i="22"/>
  <c r="K107" i="22"/>
  <c r="F101" i="22"/>
  <c r="M101" i="22"/>
  <c r="K107" i="19"/>
  <c r="F95" i="22"/>
  <c r="M95" i="22"/>
  <c r="K94" i="22"/>
  <c r="E56" i="16"/>
  <c r="M124" i="22"/>
  <c r="B80" i="16"/>
  <c r="E184" i="10"/>
  <c r="M78" i="19"/>
  <c r="E187" i="10"/>
  <c r="F218" i="19"/>
  <c r="F213" i="22"/>
  <c r="M213" i="22" s="1"/>
  <c r="H215" i="18"/>
  <c r="H216" i="18"/>
  <c r="K208" i="10"/>
  <c r="J208" i="10"/>
  <c r="F94" i="22" l="1"/>
  <c r="M94" i="22"/>
  <c r="M107" i="19"/>
  <c r="F107" i="19"/>
  <c r="F94" i="19"/>
  <c r="M94" i="19"/>
  <c r="F107" i="22"/>
  <c r="M107" i="22"/>
  <c r="I215" i="18"/>
  <c r="F212" i="22"/>
  <c r="F213" i="19"/>
  <c r="F212" i="19"/>
  <c r="I216" i="18"/>
  <c r="M212" i="22" l="1"/>
  <c r="M213" i="19"/>
  <c r="M212" i="19"/>
  <c r="K209" i="10"/>
  <c r="J209" i="10"/>
  <c r="Z219" i="10" l="1"/>
  <c r="AA219" i="10" s="1"/>
  <c r="Z220" i="10"/>
  <c r="AA220" i="10" s="1"/>
  <c r="O219" i="10"/>
  <c r="K215" i="18" s="1" a="1"/>
  <c r="K215" i="18" s="1"/>
  <c r="H212" i="23" s="1"/>
  <c r="I212" i="23" s="1"/>
  <c r="O220" i="10"/>
  <c r="K216" i="18" s="1" a="1"/>
  <c r="K216" i="18" s="1"/>
  <c r="H213" i="23" s="1"/>
  <c r="I213" i="23" s="1"/>
  <c r="J219" i="10"/>
  <c r="J220" i="10"/>
  <c r="H212" i="19" l="1"/>
  <c r="I212" i="19" s="1"/>
  <c r="H212" i="22"/>
  <c r="I212" i="22" s="1"/>
  <c r="M215" i="18"/>
  <c r="H213" i="19"/>
  <c r="I213" i="19" s="1"/>
  <c r="H213" i="22"/>
  <c r="I213" i="22" s="1"/>
  <c r="M216" i="18"/>
  <c r="E186" i="10"/>
  <c r="H186" i="10" s="1"/>
  <c r="H189" i="10"/>
  <c r="H188" i="10"/>
  <c r="H187" i="10"/>
  <c r="H184" i="10"/>
  <c r="L184" i="10" s="1"/>
  <c r="H185" i="18"/>
  <c r="H184" i="18"/>
  <c r="H183" i="18"/>
  <c r="H181" i="18"/>
  <c r="H180" i="18"/>
  <c r="E181" i="18"/>
  <c r="F179" i="22" s="1"/>
  <c r="M179" i="22" s="1"/>
  <c r="E182" i="18"/>
  <c r="F180" i="22" s="1"/>
  <c r="M180" i="22" s="1"/>
  <c r="E183" i="18"/>
  <c r="F181" i="22" s="1"/>
  <c r="M181" i="22" s="1"/>
  <c r="E184" i="18"/>
  <c r="F182" i="22" s="1"/>
  <c r="M182" i="22" s="1"/>
  <c r="E185" i="18"/>
  <c r="F183" i="22" s="1"/>
  <c r="M183" i="22" s="1"/>
  <c r="E180" i="18"/>
  <c r="F178" i="22" s="1"/>
  <c r="M178" i="22" s="1"/>
  <c r="E185" i="10"/>
  <c r="H185" i="10" s="1"/>
  <c r="E188" i="10"/>
  <c r="E189" i="10"/>
  <c r="Z188" i="10"/>
  <c r="Z189" i="10"/>
  <c r="Z187" i="10"/>
  <c r="Z186" i="10"/>
  <c r="Z185" i="10"/>
  <c r="H182" i="18"/>
  <c r="Z181" i="10"/>
  <c r="F172" i="22"/>
  <c r="O181" i="10"/>
  <c r="AA180" i="10"/>
  <c r="X180" i="10"/>
  <c r="W180" i="10" s="1"/>
  <c r="O180" i="10"/>
  <c r="K180" i="10"/>
  <c r="J180" i="10"/>
  <c r="H81" i="18"/>
  <c r="H87" i="18"/>
  <c r="H88" i="18"/>
  <c r="H89" i="18"/>
  <c r="H90" i="18"/>
  <c r="K90" i="18" s="1" a="1"/>
  <c r="K90" i="18" s="1"/>
  <c r="H87" i="23" s="1"/>
  <c r="H86" i="18"/>
  <c r="H128" i="18"/>
  <c r="H129" i="18"/>
  <c r="Z240" i="10"/>
  <c r="Z239" i="10"/>
  <c r="Z235" i="10"/>
  <c r="Z230" i="10"/>
  <c r="Z229" i="10"/>
  <c r="Z225" i="10"/>
  <c r="Z224" i="10"/>
  <c r="Z223" i="10"/>
  <c r="Z222" i="10"/>
  <c r="Z221" i="10"/>
  <c r="Z218" i="10"/>
  <c r="Z217" i="10"/>
  <c r="Z213" i="10"/>
  <c r="Z206" i="10"/>
  <c r="Z205" i="10"/>
  <c r="Z202" i="10"/>
  <c r="Z198" i="10"/>
  <c r="Z197" i="10"/>
  <c r="Z196" i="10"/>
  <c r="Z184" i="10"/>
  <c r="Z162" i="10"/>
  <c r="Z161" i="10"/>
  <c r="Z156" i="10"/>
  <c r="Z155" i="10"/>
  <c r="Z154" i="10"/>
  <c r="Z153" i="10"/>
  <c r="Z148" i="10"/>
  <c r="Z144" i="10"/>
  <c r="Z143" i="10"/>
  <c r="Z142" i="10"/>
  <c r="Z82" i="10"/>
  <c r="Z78" i="10"/>
  <c r="Z77" i="10"/>
  <c r="Z76" i="10"/>
  <c r="Z75" i="10"/>
  <c r="Z74" i="10"/>
  <c r="Z73" i="10"/>
  <c r="Z72" i="10"/>
  <c r="Z71" i="10"/>
  <c r="Z70" i="10"/>
  <c r="Z69" i="10"/>
  <c r="Z68" i="10"/>
  <c r="Z67" i="10"/>
  <c r="Z66" i="10"/>
  <c r="Z65" i="10"/>
  <c r="Z64" i="10"/>
  <c r="Z63" i="10"/>
  <c r="Z62" i="10"/>
  <c r="Z61" i="10"/>
  <c r="Z49" i="10"/>
  <c r="Z48" i="10"/>
  <c r="Z47" i="10"/>
  <c r="Z46" i="10"/>
  <c r="Z45" i="10"/>
  <c r="Z26" i="10"/>
  <c r="Z25" i="10"/>
  <c r="Z24" i="10"/>
  <c r="M172" i="22" l="1"/>
  <c r="X189" i="10"/>
  <c r="W189" i="10" s="1"/>
  <c r="X188" i="10"/>
  <c r="W188" i="10" s="1"/>
  <c r="L187" i="10"/>
  <c r="K187" i="10" s="1"/>
  <c r="X185" i="10"/>
  <c r="W185" i="10" s="1"/>
  <c r="X186" i="10"/>
  <c r="W186" i="10" s="1"/>
  <c r="I180" i="18"/>
  <c r="I183" i="18"/>
  <c r="L185" i="10"/>
  <c r="K185" i="10" s="1"/>
  <c r="AA185" i="10"/>
  <c r="AA188" i="10"/>
  <c r="L188" i="10"/>
  <c r="K188" i="10" s="1"/>
  <c r="O188" i="10"/>
  <c r="K184" i="18" s="1" a="1"/>
  <c r="K184" i="18" s="1"/>
  <c r="H182" i="23" s="1"/>
  <c r="I182" i="23" s="1"/>
  <c r="O187" i="10"/>
  <c r="K183" i="18" s="1" a="1"/>
  <c r="K183" i="18" s="1"/>
  <c r="H181" i="23" s="1"/>
  <c r="I181" i="23" s="1"/>
  <c r="X187" i="10"/>
  <c r="W187" i="10" s="1"/>
  <c r="AA187" i="10"/>
  <c r="AA189" i="10"/>
  <c r="L189" i="10"/>
  <c r="K189" i="10" s="1"/>
  <c r="O189" i="10"/>
  <c r="K185" i="18" s="1" a="1"/>
  <c r="K185" i="18" s="1"/>
  <c r="H183" i="23" s="1"/>
  <c r="I183" i="23" s="1"/>
  <c r="AA186" i="10"/>
  <c r="L186" i="10"/>
  <c r="K186" i="10" s="1"/>
  <c r="O186" i="10"/>
  <c r="K182" i="18" s="1" a="1"/>
  <c r="K182" i="18" s="1"/>
  <c r="H180" i="23" s="1"/>
  <c r="I180" i="23" s="1"/>
  <c r="O185" i="10"/>
  <c r="K181" i="18" s="1" a="1"/>
  <c r="K181" i="18" s="1"/>
  <c r="H179" i="23" s="1"/>
  <c r="I179" i="23" s="1"/>
  <c r="AA184" i="10"/>
  <c r="F210" i="22"/>
  <c r="H181" i="22" l="1"/>
  <c r="I181" i="22" s="1"/>
  <c r="H180" i="22"/>
  <c r="I180" i="22" s="1"/>
  <c r="H182" i="22"/>
  <c r="I182" i="22" s="1"/>
  <c r="H179" i="22"/>
  <c r="I179" i="22" s="1"/>
  <c r="H183" i="22"/>
  <c r="I183" i="22" s="1"/>
  <c r="M210" i="22"/>
  <c r="F12" i="22"/>
  <c r="M12" i="22" s="1"/>
  <c r="F214" i="22" l="1"/>
  <c r="F190" i="22"/>
  <c r="M190" i="22" s="1"/>
  <c r="F189" i="22"/>
  <c r="M189" i="22" s="1"/>
  <c r="E152" i="18"/>
  <c r="F149" i="22" s="1"/>
  <c r="E153" i="18"/>
  <c r="F150" i="22" s="1"/>
  <c r="M150" i="22" s="1"/>
  <c r="E154" i="18"/>
  <c r="F151" i="22" s="1"/>
  <c r="M151" i="22" s="1"/>
  <c r="E151" i="18"/>
  <c r="F148" i="22" s="1"/>
  <c r="M148" i="22" s="1"/>
  <c r="B86" i="16"/>
  <c r="E93" i="18"/>
  <c r="F90" i="22" s="1"/>
  <c r="M90" i="22" s="1"/>
  <c r="F69" i="22"/>
  <c r="M69" i="22" s="1"/>
  <c r="K93" i="10"/>
  <c r="G71" i="20"/>
  <c r="I64" i="20"/>
  <c r="I74" i="20" l="1"/>
  <c r="K69" i="20"/>
  <c r="I73" i="20"/>
  <c r="K71" i="20"/>
  <c r="M214" i="22"/>
  <c r="M149" i="22"/>
  <c r="H226" i="22"/>
  <c r="I226" i="22" s="1"/>
  <c r="H225" i="22"/>
  <c r="I225" i="22" s="1"/>
  <c r="H224" i="22"/>
  <c r="I224" i="22" s="1"/>
  <c r="I155" i="22"/>
  <c r="I154" i="22"/>
  <c r="H87" i="22"/>
  <c r="H46" i="22"/>
  <c r="T197" i="10"/>
  <c r="T129" i="10"/>
  <c r="T88" i="10"/>
  <c r="T9" i="10"/>
  <c r="Q196" i="10"/>
  <c r="Q153" i="10"/>
  <c r="Q93" i="10"/>
  <c r="Q88" i="10"/>
  <c r="Q61" i="10"/>
  <c r="Q10" i="10"/>
  <c r="S9" i="10"/>
  <c r="J96" i="10" l="1"/>
  <c r="J95" i="10"/>
  <c r="J94" i="10"/>
  <c r="J93" i="10"/>
  <c r="J13" i="10"/>
  <c r="AF197" i="10"/>
  <c r="AF188" i="10"/>
  <c r="AF144" i="10"/>
  <c r="AF143" i="10"/>
  <c r="AF115" i="10"/>
  <c r="AF114" i="10"/>
  <c r="AF113" i="10"/>
  <c r="AF90" i="10"/>
  <c r="AF81" i="10"/>
  <c r="AF76" i="10"/>
  <c r="AF75" i="10"/>
  <c r="AF49" i="10"/>
  <c r="AF40" i="10"/>
  <c r="AF18" i="10"/>
  <c r="AF9" i="10"/>
  <c r="AA240" i="10" l="1"/>
  <c r="AA239" i="10"/>
  <c r="AA235" i="10"/>
  <c r="AA230" i="10"/>
  <c r="AA229" i="10"/>
  <c r="AA213" i="10"/>
  <c r="AA206" i="10"/>
  <c r="AA205" i="10"/>
  <c r="AA202" i="10"/>
  <c r="AA198" i="10"/>
  <c r="AA179" i="10"/>
  <c r="AA178" i="10"/>
  <c r="AA162" i="10"/>
  <c r="AA161" i="10"/>
  <c r="AA156" i="10"/>
  <c r="AA155" i="10"/>
  <c r="AA154" i="10"/>
  <c r="AA153" i="10"/>
  <c r="AA145" i="10"/>
  <c r="AA144" i="10"/>
  <c r="AA143" i="10"/>
  <c r="AA142" i="10"/>
  <c r="AA140" i="10"/>
  <c r="AA138" i="10"/>
  <c r="AA136" i="10"/>
  <c r="AA135" i="10"/>
  <c r="AA134" i="10"/>
  <c r="AA133" i="10"/>
  <c r="AA132" i="10"/>
  <c r="AA131" i="10"/>
  <c r="AA130" i="10"/>
  <c r="AA129" i="10"/>
  <c r="AA128" i="10"/>
  <c r="AA127" i="10"/>
  <c r="AA96" i="10"/>
  <c r="AA95" i="10"/>
  <c r="AA94" i="10"/>
  <c r="AA93" i="10"/>
  <c r="AA90" i="10"/>
  <c r="AA89" i="10"/>
  <c r="AA88" i="10"/>
  <c r="AA87" i="10"/>
  <c r="AA82" i="10"/>
  <c r="AA78" i="10"/>
  <c r="AA77" i="10"/>
  <c r="AA76" i="10"/>
  <c r="AA75" i="10"/>
  <c r="AA74" i="10"/>
  <c r="AA73" i="10"/>
  <c r="AA72" i="10"/>
  <c r="AA71" i="10"/>
  <c r="AA70" i="10"/>
  <c r="AA69" i="10"/>
  <c r="AA68" i="10"/>
  <c r="AA67" i="10"/>
  <c r="AA66" i="10"/>
  <c r="AA65" i="10"/>
  <c r="AA64" i="10"/>
  <c r="AA63" i="10"/>
  <c r="AA62" i="10"/>
  <c r="AA49" i="10"/>
  <c r="AA48" i="10"/>
  <c r="AA47" i="10"/>
  <c r="AA46" i="10"/>
  <c r="AA45" i="10"/>
  <c r="AA25" i="10"/>
  <c r="AA26" i="10"/>
  <c r="AA24" i="10"/>
  <c r="AA10" i="10"/>
  <c r="AA13" i="10"/>
  <c r="AA9" i="10"/>
  <c r="K240" i="10"/>
  <c r="K239" i="10"/>
  <c r="K235" i="10"/>
  <c r="K230" i="10"/>
  <c r="K229" i="10"/>
  <c r="K213" i="10"/>
  <c r="K206" i="10"/>
  <c r="K205" i="10"/>
  <c r="K202" i="10"/>
  <c r="K198" i="10"/>
  <c r="K179" i="10"/>
  <c r="K178" i="10"/>
  <c r="K162" i="10"/>
  <c r="K161" i="10"/>
  <c r="K154" i="10"/>
  <c r="K155" i="10"/>
  <c r="K156" i="10"/>
  <c r="K153" i="10"/>
  <c r="K143" i="10"/>
  <c r="K144" i="10"/>
  <c r="K145" i="10"/>
  <c r="K142" i="10"/>
  <c r="K140" i="10"/>
  <c r="K138" i="10"/>
  <c r="K129" i="10"/>
  <c r="K130" i="10"/>
  <c r="K131" i="10"/>
  <c r="K132" i="10"/>
  <c r="K133" i="10"/>
  <c r="K134" i="10"/>
  <c r="K135" i="10"/>
  <c r="K136" i="10"/>
  <c r="H148" i="10"/>
  <c r="O148" i="10" l="1"/>
  <c r="AA148" i="10"/>
  <c r="J148" i="10"/>
  <c r="H147" i="18"/>
  <c r="K148" i="10"/>
  <c r="E44" i="18"/>
  <c r="E46" i="18"/>
  <c r="F43" i="22" s="1"/>
  <c r="M43" i="22" s="1"/>
  <c r="E47" i="18"/>
  <c r="F44" i="22" s="1"/>
  <c r="M44" i="22" s="1"/>
  <c r="E48" i="18"/>
  <c r="F45" i="22" s="1"/>
  <c r="M45" i="22" s="1"/>
  <c r="F87" i="19"/>
  <c r="H61" i="10"/>
  <c r="AA61" i="10" s="1"/>
  <c r="I147" i="18" l="1"/>
  <c r="K147" i="18" a="1"/>
  <c r="K147" i="18" s="1"/>
  <c r="F40" i="22"/>
  <c r="F41" i="22"/>
  <c r="M41" i="22" s="1"/>
  <c r="F211" i="22"/>
  <c r="M211" i="22" s="1"/>
  <c r="F232" i="22"/>
  <c r="D87" i="19"/>
  <c r="M90" i="18"/>
  <c r="I90" i="18"/>
  <c r="X240" i="10"/>
  <c r="W240" i="10" s="1"/>
  <c r="X239" i="10"/>
  <c r="W239" i="10" s="1"/>
  <c r="O240" i="10"/>
  <c r="O239" i="10"/>
  <c r="J213" i="10"/>
  <c r="X213" i="10"/>
  <c r="W213" i="10" s="1"/>
  <c r="O213" i="10"/>
  <c r="F173" i="19"/>
  <c r="F174" i="19"/>
  <c r="F175" i="19"/>
  <c r="F178" i="19"/>
  <c r="F179" i="19"/>
  <c r="F180" i="19"/>
  <c r="F181" i="19"/>
  <c r="F182" i="19"/>
  <c r="F183" i="19"/>
  <c r="H224" i="19"/>
  <c r="I224" i="19" s="1"/>
  <c r="H225" i="19"/>
  <c r="I225" i="19" s="1"/>
  <c r="H226" i="19"/>
  <c r="I226" i="19" s="1"/>
  <c r="M4" i="19"/>
  <c r="M201" i="19"/>
  <c r="M202" i="19"/>
  <c r="M203" i="19"/>
  <c r="M224" i="19"/>
  <c r="M225" i="19"/>
  <c r="M226" i="19"/>
  <c r="M227" i="19"/>
  <c r="I87" i="22" l="1"/>
  <c r="I87" i="23"/>
  <c r="H143" i="22"/>
  <c r="I143" i="22" s="1"/>
  <c r="H143" i="23"/>
  <c r="I143" i="23" s="1"/>
  <c r="M232" i="22"/>
  <c r="I87" i="19"/>
  <c r="H87" i="19"/>
  <c r="F232" i="19"/>
  <c r="M87" i="19"/>
  <c r="F149" i="19"/>
  <c r="M149" i="19" s="1"/>
  <c r="F150" i="19"/>
  <c r="F151" i="19"/>
  <c r="F123" i="19"/>
  <c r="M123" i="19" s="1"/>
  <c r="F125" i="19"/>
  <c r="F126" i="19"/>
  <c r="F127" i="19"/>
  <c r="F128" i="19"/>
  <c r="F129" i="19"/>
  <c r="M129" i="19" s="1"/>
  <c r="F130" i="19"/>
  <c r="M130" i="19" s="1"/>
  <c r="F131" i="19"/>
  <c r="F132" i="19"/>
  <c r="F133" i="19"/>
  <c r="M133" i="19" s="1"/>
  <c r="F134" i="19"/>
  <c r="M134" i="19" s="1"/>
  <c r="F135" i="19"/>
  <c r="F136" i="19"/>
  <c r="F137" i="19"/>
  <c r="F138" i="19"/>
  <c r="F139" i="19"/>
  <c r="F140" i="19"/>
  <c r="F141" i="19"/>
  <c r="F142" i="19"/>
  <c r="F143" i="19"/>
  <c r="F122" i="19"/>
  <c r="O78" i="10"/>
  <c r="H236" i="18"/>
  <c r="H235" i="18"/>
  <c r="H231" i="18"/>
  <c r="H226" i="18"/>
  <c r="H225" i="18"/>
  <c r="H201" i="18"/>
  <c r="H202" i="18"/>
  <c r="H204" i="18"/>
  <c r="H205" i="18"/>
  <c r="H207" i="18"/>
  <c r="H208" i="18"/>
  <c r="H209" i="18"/>
  <c r="H199" i="18"/>
  <c r="H198" i="18"/>
  <c r="H194" i="18"/>
  <c r="H175" i="18"/>
  <c r="H174" i="18"/>
  <c r="I170" i="18"/>
  <c r="I171" i="18"/>
  <c r="I169" i="18"/>
  <c r="H152" i="18"/>
  <c r="H153" i="18"/>
  <c r="H154" i="18"/>
  <c r="H151" i="18"/>
  <c r="H135" i="18"/>
  <c r="H136" i="18"/>
  <c r="H137" i="18"/>
  <c r="H138" i="18"/>
  <c r="H139" i="18"/>
  <c r="H140" i="18"/>
  <c r="H141" i="18"/>
  <c r="H142" i="18"/>
  <c r="H143" i="18"/>
  <c r="H144" i="18"/>
  <c r="H145" i="18"/>
  <c r="H146" i="18"/>
  <c r="H127" i="18"/>
  <c r="I129" i="18"/>
  <c r="H130" i="18"/>
  <c r="H131" i="18"/>
  <c r="H132" i="18"/>
  <c r="H133" i="18"/>
  <c r="H134" i="18"/>
  <c r="H93" i="18"/>
  <c r="H94" i="18"/>
  <c r="H95" i="18"/>
  <c r="H92" i="18"/>
  <c r="H61" i="18"/>
  <c r="H62" i="18"/>
  <c r="H63" i="18"/>
  <c r="H64" i="18"/>
  <c r="H65" i="18"/>
  <c r="H66" i="18"/>
  <c r="H67" i="18"/>
  <c r="H68" i="18"/>
  <c r="H69" i="18"/>
  <c r="H70" i="18"/>
  <c r="H71" i="18"/>
  <c r="H72" i="18"/>
  <c r="H73" i="18"/>
  <c r="H74" i="18"/>
  <c r="H75" i="18"/>
  <c r="H76" i="18"/>
  <c r="H77" i="18"/>
  <c r="H45" i="18"/>
  <c r="H46" i="18"/>
  <c r="H47" i="18"/>
  <c r="H48" i="18"/>
  <c r="H44" i="18"/>
  <c r="H25" i="18"/>
  <c r="H26" i="18"/>
  <c r="H24" i="18"/>
  <c r="H18" i="18"/>
  <c r="K18" i="18" s="1" a="1"/>
  <c r="K18" i="18" s="1"/>
  <c r="H19" i="18"/>
  <c r="K19" i="18" s="1" a="1"/>
  <c r="K19" i="18" s="1"/>
  <c r="H20" i="18"/>
  <c r="H21" i="18"/>
  <c r="H17" i="18"/>
  <c r="K17" i="18" s="1" a="1"/>
  <c r="K17" i="18" s="1"/>
  <c r="H13" i="18"/>
  <c r="H9" i="18"/>
  <c r="H24" i="19" l="1"/>
  <c r="H24" i="23"/>
  <c r="H23" i="19"/>
  <c r="H23" i="23"/>
  <c r="H25" i="19"/>
  <c r="H25" i="23"/>
  <c r="I74" i="18"/>
  <c r="I127" i="18"/>
  <c r="I139" i="18"/>
  <c r="I152" i="18"/>
  <c r="I199" i="18"/>
  <c r="K199" i="18" a="1"/>
  <c r="K199" i="18" s="1"/>
  <c r="I146" i="18"/>
  <c r="K146" i="18" a="1"/>
  <c r="K146" i="18" s="1"/>
  <c r="I133" i="18"/>
  <c r="I144" i="18"/>
  <c r="I136" i="18"/>
  <c r="K136" i="18" a="1"/>
  <c r="K136" i="18" s="1"/>
  <c r="I207" i="18"/>
  <c r="K207" i="18" a="1"/>
  <c r="K207" i="18" s="1"/>
  <c r="I235" i="18"/>
  <c r="K235" i="18" a="1"/>
  <c r="K235" i="18" s="1"/>
  <c r="I73" i="18"/>
  <c r="I209" i="18"/>
  <c r="K209" i="18" a="1"/>
  <c r="K209" i="18" s="1"/>
  <c r="I134" i="18"/>
  <c r="I137" i="18"/>
  <c r="I208" i="18"/>
  <c r="K208" i="18" a="1"/>
  <c r="K208" i="18" s="1"/>
  <c r="I45" i="18"/>
  <c r="I70" i="18"/>
  <c r="I62" i="18"/>
  <c r="I132" i="18"/>
  <c r="I143" i="18"/>
  <c r="I135" i="18"/>
  <c r="I174" i="18"/>
  <c r="I205" i="18"/>
  <c r="K205" i="18" a="1"/>
  <c r="K205" i="18" s="1"/>
  <c r="H202" i="23" s="1"/>
  <c r="I202" i="23" s="1"/>
  <c r="I236" i="18"/>
  <c r="K236" i="18" a="1"/>
  <c r="K236" i="18" s="1"/>
  <c r="I72" i="18"/>
  <c r="I24" i="18"/>
  <c r="I77" i="18"/>
  <c r="K77" i="18" a="1"/>
  <c r="K77" i="18" s="1"/>
  <c r="I69" i="18"/>
  <c r="I61" i="18"/>
  <c r="I131" i="18"/>
  <c r="I142" i="18"/>
  <c r="I151" i="18"/>
  <c r="I175" i="18"/>
  <c r="I204" i="18"/>
  <c r="K204" i="18" a="1"/>
  <c r="K204" i="18" s="1"/>
  <c r="I138" i="18"/>
  <c r="K138" i="18" a="1"/>
  <c r="K138" i="18" s="1"/>
  <c r="I145" i="18"/>
  <c r="K145" i="18" a="1"/>
  <c r="K145" i="18" s="1"/>
  <c r="I76" i="18"/>
  <c r="I130" i="18"/>
  <c r="I141" i="18"/>
  <c r="I154" i="18"/>
  <c r="I194" i="18"/>
  <c r="I202" i="18"/>
  <c r="I26" i="18"/>
  <c r="I25" i="18"/>
  <c r="I75" i="18"/>
  <c r="I140" i="18"/>
  <c r="K140" i="18" a="1"/>
  <c r="K140" i="18" s="1"/>
  <c r="I153" i="18"/>
  <c r="I198" i="18"/>
  <c r="I201" i="18"/>
  <c r="I20" i="18"/>
  <c r="K20" i="18" a="1"/>
  <c r="K20" i="18" s="1"/>
  <c r="H26" i="23" s="1"/>
  <c r="K21" i="18" a="1"/>
  <c r="K21" i="18" s="1"/>
  <c r="H27" i="23" s="1"/>
  <c r="M132" i="19"/>
  <c r="M131" i="19"/>
  <c r="M135" i="19"/>
  <c r="H206" i="22" l="1"/>
  <c r="I206" i="22" s="1"/>
  <c r="H206" i="23"/>
  <c r="I206" i="23" s="1"/>
  <c r="H141" i="22"/>
  <c r="I141" i="22" s="1"/>
  <c r="H141" i="23"/>
  <c r="I141" i="23" s="1"/>
  <c r="H232" i="22"/>
  <c r="I232" i="22" s="1"/>
  <c r="H232" i="23"/>
  <c r="I232" i="23" s="1"/>
  <c r="H142" i="22"/>
  <c r="I142" i="22" s="1"/>
  <c r="H142" i="23"/>
  <c r="I142" i="23" s="1"/>
  <c r="H134" i="22"/>
  <c r="I134" i="22" s="1"/>
  <c r="H134" i="23"/>
  <c r="I134" i="23" s="1"/>
  <c r="H205" i="22"/>
  <c r="I205" i="22" s="1"/>
  <c r="H205" i="23"/>
  <c r="I205" i="23" s="1"/>
  <c r="H76" i="22"/>
  <c r="H76" i="23"/>
  <c r="H204" i="22"/>
  <c r="I204" i="22" s="1"/>
  <c r="H204" i="23"/>
  <c r="I204" i="23" s="1"/>
  <c r="H196" i="22"/>
  <c r="I196" i="22" s="1"/>
  <c r="H196" i="23"/>
  <c r="I196" i="23" s="1"/>
  <c r="H201" i="22"/>
  <c r="I201" i="22" s="1"/>
  <c r="H201" i="23"/>
  <c r="I201" i="23" s="1"/>
  <c r="H136" i="22"/>
  <c r="I136" i="22" s="1"/>
  <c r="H136" i="23"/>
  <c r="I136" i="23" s="1"/>
  <c r="H233" i="22"/>
  <c r="I233" i="22" s="1"/>
  <c r="H233" i="23"/>
  <c r="I233" i="23" s="1"/>
  <c r="H132" i="22"/>
  <c r="I132" i="22" s="1"/>
  <c r="H132" i="23"/>
  <c r="I132" i="23" s="1"/>
  <c r="H27" i="22"/>
  <c r="H27" i="19"/>
  <c r="H26" i="22"/>
  <c r="H26" i="19"/>
  <c r="H142" i="19"/>
  <c r="K230" i="22"/>
  <c r="J230" i="22" s="1"/>
  <c r="M146" i="18"/>
  <c r="M145" i="18"/>
  <c r="M204" i="18"/>
  <c r="H141" i="19"/>
  <c r="M136" i="18"/>
  <c r="H202" i="22"/>
  <c r="I202" i="22" s="1"/>
  <c r="H202" i="19"/>
  <c r="H134" i="19"/>
  <c r="I134" i="19" s="1"/>
  <c r="H136" i="19"/>
  <c r="H201" i="19"/>
  <c r="I201" i="19" s="1"/>
  <c r="H132" i="19"/>
  <c r="I132" i="19" s="1"/>
  <c r="M138" i="18"/>
  <c r="M140" i="18"/>
  <c r="O144" i="10"/>
  <c r="K143" i="18" s="1" a="1"/>
  <c r="K143" i="18" s="1"/>
  <c r="O143" i="10"/>
  <c r="K142" i="18" s="1" a="1"/>
  <c r="K142" i="18" s="1"/>
  <c r="O142" i="10"/>
  <c r="K141" i="18" s="1" a="1"/>
  <c r="K141" i="18" s="1"/>
  <c r="J144" i="10"/>
  <c r="J143" i="10"/>
  <c r="J142" i="10"/>
  <c r="M58" i="19"/>
  <c r="K230" i="23" l="1"/>
  <c r="H139" i="22"/>
  <c r="I139" i="22" s="1"/>
  <c r="H139" i="23"/>
  <c r="I139" i="23" s="1"/>
  <c r="H137" i="22"/>
  <c r="I137" i="22" s="1"/>
  <c r="H137" i="23"/>
  <c r="I137" i="23" s="1"/>
  <c r="H138" i="22"/>
  <c r="I138" i="22" s="1"/>
  <c r="H138" i="23"/>
  <c r="I138" i="23" s="1"/>
  <c r="M143" i="18"/>
  <c r="H138" i="19"/>
  <c r="M141" i="18"/>
  <c r="M142" i="18"/>
  <c r="H139" i="19"/>
  <c r="H137" i="19"/>
  <c r="F229" i="22"/>
  <c r="M229" i="22" s="1"/>
  <c r="F230" i="22"/>
  <c r="M230" i="22"/>
  <c r="J145" i="10"/>
  <c r="M40" i="19"/>
  <c r="F211" i="19"/>
  <c r="F214" i="19"/>
  <c r="F215" i="19"/>
  <c r="F216" i="19"/>
  <c r="F217" i="19"/>
  <c r="F210" i="19"/>
  <c r="F196" i="19"/>
  <c r="F198" i="19"/>
  <c r="F204" i="19"/>
  <c r="F205" i="19"/>
  <c r="F206" i="19"/>
  <c r="F195" i="19"/>
  <c r="F191" i="19"/>
  <c r="F172" i="19"/>
  <c r="F148" i="19"/>
  <c r="F60" i="19"/>
  <c r="M60" i="19" s="1"/>
  <c r="F61" i="19"/>
  <c r="M61" i="19" s="1"/>
  <c r="F68" i="19"/>
  <c r="M68" i="19" s="1"/>
  <c r="F69" i="19"/>
  <c r="M69" i="19" s="1"/>
  <c r="F71" i="19"/>
  <c r="M71" i="19" s="1"/>
  <c r="F72" i="19"/>
  <c r="M72" i="19" s="1"/>
  <c r="F73" i="19"/>
  <c r="M73" i="19" s="1"/>
  <c r="F74" i="19"/>
  <c r="M74" i="19" s="1"/>
  <c r="F75" i="19"/>
  <c r="M75" i="19" s="1"/>
  <c r="F76" i="19"/>
  <c r="M76" i="19" s="1"/>
  <c r="F42" i="19"/>
  <c r="F46" i="19"/>
  <c r="M46" i="19" s="1"/>
  <c r="M230" i="23" l="1"/>
  <c r="F229" i="23"/>
  <c r="M229" i="23" s="1"/>
  <c r="J230" i="23"/>
  <c r="F230" i="23"/>
  <c r="I44" i="18"/>
  <c r="F40" i="19"/>
  <c r="M28" i="19"/>
  <c r="M42" i="19"/>
  <c r="M122" i="19"/>
  <c r="M125" i="19"/>
  <c r="M126" i="19"/>
  <c r="M127" i="19"/>
  <c r="M128" i="19"/>
  <c r="M136" i="19"/>
  <c r="M137" i="19"/>
  <c r="M138" i="19"/>
  <c r="M139" i="19"/>
  <c r="M140" i="19"/>
  <c r="M141" i="19"/>
  <c r="M142" i="19"/>
  <c r="M143" i="19"/>
  <c r="M148" i="19"/>
  <c r="M150" i="19"/>
  <c r="M151" i="19"/>
  <c r="M152" i="19"/>
  <c r="M154" i="19"/>
  <c r="M155" i="19"/>
  <c r="M156" i="19"/>
  <c r="M157" i="19"/>
  <c r="M172" i="19"/>
  <c r="M173" i="19"/>
  <c r="M174" i="19"/>
  <c r="M175" i="19"/>
  <c r="M178" i="19"/>
  <c r="M179" i="19"/>
  <c r="M180" i="19"/>
  <c r="M181" i="19"/>
  <c r="M182" i="19"/>
  <c r="M183" i="19"/>
  <c r="M188" i="19"/>
  <c r="M191" i="19"/>
  <c r="M194" i="19"/>
  <c r="M195" i="19"/>
  <c r="M196" i="19"/>
  <c r="M197" i="19"/>
  <c r="M198" i="19"/>
  <c r="M199" i="19"/>
  <c r="M200" i="19"/>
  <c r="M204" i="19"/>
  <c r="M205" i="19"/>
  <c r="M206" i="19"/>
  <c r="M209" i="19"/>
  <c r="M210" i="19"/>
  <c r="M211" i="19"/>
  <c r="M214" i="19"/>
  <c r="M215" i="19"/>
  <c r="M216" i="19"/>
  <c r="M217" i="19"/>
  <c r="M218" i="19"/>
  <c r="M221" i="19"/>
  <c r="M231" i="19"/>
  <c r="M232" i="19"/>
  <c r="M233" i="19"/>
  <c r="M239" i="19"/>
  <c r="M240" i="19"/>
  <c r="M242" i="19"/>
  <c r="E231" i="18" l="1"/>
  <c r="F228" i="22" s="1"/>
  <c r="E226" i="18"/>
  <c r="F223" i="22" s="1"/>
  <c r="E225" i="18"/>
  <c r="F222" i="22" s="1"/>
  <c r="F189" i="19"/>
  <c r="F124" i="19"/>
  <c r="F41" i="19"/>
  <c r="M41" i="19" s="1"/>
  <c r="X82" i="10"/>
  <c r="J82" i="10"/>
  <c r="O82" i="10" s="1"/>
  <c r="K81" i="18" s="1" a="1"/>
  <c r="K81" i="18" s="1"/>
  <c r="H79" i="22" l="1"/>
  <c r="H79" i="23"/>
  <c r="M223" i="22"/>
  <c r="M228" i="22"/>
  <c r="M222" i="22"/>
  <c r="I231" i="18"/>
  <c r="F228" i="19"/>
  <c r="M228" i="19" s="1"/>
  <c r="F223" i="19"/>
  <c r="M223" i="19" s="1"/>
  <c r="I226" i="18"/>
  <c r="I225" i="18"/>
  <c r="F222" i="19"/>
  <c r="M222" i="19" s="1"/>
  <c r="M189" i="19"/>
  <c r="W82" i="10"/>
  <c r="H79" i="19"/>
  <c r="F190" i="19"/>
  <c r="M190" i="19" s="1"/>
  <c r="M124" i="19"/>
  <c r="I128" i="18"/>
  <c r="F12" i="19"/>
  <c r="M12" i="19" s="1"/>
  <c r="I13" i="18"/>
  <c r="F43" i="19"/>
  <c r="M43" i="19" s="1"/>
  <c r="I46" i="18"/>
  <c r="F44" i="19"/>
  <c r="M44" i="19" s="1"/>
  <c r="I47" i="18"/>
  <c r="F45" i="19"/>
  <c r="M45" i="19" s="1"/>
  <c r="I48" i="18"/>
  <c r="X61" i="10"/>
  <c r="H60" i="18"/>
  <c r="O61" i="10"/>
  <c r="K61" i="10"/>
  <c r="J61" i="10"/>
  <c r="I155" i="19"/>
  <c r="Z153" i="19"/>
  <c r="I142" i="19"/>
  <c r="I141" i="19"/>
  <c r="I139" i="19"/>
  <c r="I138" i="19"/>
  <c r="I137" i="19"/>
  <c r="K60" i="18" l="1" a="1"/>
  <c r="K60" i="18" s="1"/>
  <c r="W61" i="10"/>
  <c r="X128" i="10"/>
  <c r="K62" i="10"/>
  <c r="K63" i="10"/>
  <c r="K64" i="10"/>
  <c r="K65" i="10"/>
  <c r="K66" i="10"/>
  <c r="K67" i="10"/>
  <c r="K68" i="10"/>
  <c r="K69" i="10"/>
  <c r="K70" i="10"/>
  <c r="K71" i="10"/>
  <c r="K72" i="10"/>
  <c r="K73" i="10"/>
  <c r="K74" i="10"/>
  <c r="K75" i="10"/>
  <c r="K76" i="10"/>
  <c r="K77" i="10"/>
  <c r="K78" i="10"/>
  <c r="K46" i="10"/>
  <c r="K47" i="10"/>
  <c r="K48" i="10"/>
  <c r="K49" i="10"/>
  <c r="K45" i="10"/>
  <c r="K10" i="10"/>
  <c r="K11" i="10"/>
  <c r="K13" i="10"/>
  <c r="K9" i="10"/>
  <c r="O13" i="10"/>
  <c r="K13" i="18" s="1" a="1"/>
  <c r="K13" i="18" s="1"/>
  <c r="H11" i="22"/>
  <c r="H10" i="22"/>
  <c r="O9" i="10"/>
  <c r="O10" i="10"/>
  <c r="H12" i="22" l="1"/>
  <c r="H12" i="23"/>
  <c r="H59" i="22"/>
  <c r="H59" i="23"/>
  <c r="H59" i="19"/>
  <c r="K10" i="18" a="1"/>
  <c r="K10" i="18" s="1"/>
  <c r="K9" i="18" a="1"/>
  <c r="K9" i="18" s="1"/>
  <c r="W128" i="10"/>
  <c r="J128" i="10"/>
  <c r="O128" i="10"/>
  <c r="K127" i="18" s="1" a="1"/>
  <c r="K127" i="18" s="1"/>
  <c r="K128" i="10"/>
  <c r="H9" i="22" l="1"/>
  <c r="H9" i="23"/>
  <c r="H8" i="22"/>
  <c r="H8" i="23"/>
  <c r="H123" i="22"/>
  <c r="I123" i="22" s="1"/>
  <c r="H123" i="23"/>
  <c r="I123" i="23" s="1"/>
  <c r="I192" i="18"/>
  <c r="K196" i="10"/>
  <c r="AA196" i="10"/>
  <c r="M127" i="18"/>
  <c r="H123" i="19"/>
  <c r="I123" i="19" s="1"/>
  <c r="X9" i="10"/>
  <c r="H8" i="19" s="1"/>
  <c r="X136" i="10"/>
  <c r="X134" i="10"/>
  <c r="H222" i="10"/>
  <c r="H224" i="10"/>
  <c r="H223" i="10"/>
  <c r="X206" i="10"/>
  <c r="J206" i="10"/>
  <c r="X155" i="10"/>
  <c r="O206" i="10" l="1"/>
  <c r="K202" i="18" s="1" a="1"/>
  <c r="K202" i="18" s="1"/>
  <c r="I193" i="18"/>
  <c r="K197" i="10"/>
  <c r="AA197" i="10"/>
  <c r="AA225" i="10"/>
  <c r="K225" i="10"/>
  <c r="K224" i="10"/>
  <c r="AA224" i="10"/>
  <c r="AA217" i="10"/>
  <c r="K217" i="10"/>
  <c r="AA222" i="10"/>
  <c r="K222" i="10"/>
  <c r="K218" i="10"/>
  <c r="AA218" i="10"/>
  <c r="K223" i="10"/>
  <c r="AA223" i="10"/>
  <c r="AA221" i="10"/>
  <c r="K221" i="10"/>
  <c r="H214" i="18"/>
  <c r="X218" i="10"/>
  <c r="W218" i="10" s="1"/>
  <c r="O218" i="10"/>
  <c r="H219" i="18"/>
  <c r="X223" i="10"/>
  <c r="W223" i="10" s="1"/>
  <c r="O223" i="10"/>
  <c r="H217" i="18"/>
  <c r="X221" i="10"/>
  <c r="O221" i="10"/>
  <c r="X224" i="10"/>
  <c r="W224" i="10" s="1"/>
  <c r="O224" i="10"/>
  <c r="H221" i="18"/>
  <c r="X225" i="10"/>
  <c r="W225" i="10" s="1"/>
  <c r="O225" i="10"/>
  <c r="I213" i="18"/>
  <c r="O217" i="10"/>
  <c r="K213" i="18" s="1" a="1"/>
  <c r="K213" i="18" s="1"/>
  <c r="H210" i="23" s="1"/>
  <c r="I210" i="23" s="1"/>
  <c r="X217" i="10"/>
  <c r="W217" i="10" s="1"/>
  <c r="H218" i="18"/>
  <c r="X222" i="10"/>
  <c r="W222" i="10" s="1"/>
  <c r="O222" i="10"/>
  <c r="W155" i="10"/>
  <c r="W206" i="10"/>
  <c r="J134" i="10"/>
  <c r="J136" i="10"/>
  <c r="J155" i="10"/>
  <c r="H220" i="18"/>
  <c r="X129" i="10"/>
  <c r="X130" i="10"/>
  <c r="X131" i="10"/>
  <c r="X132" i="10"/>
  <c r="X133" i="10"/>
  <c r="X135" i="10"/>
  <c r="X96" i="10"/>
  <c r="X88" i="10"/>
  <c r="X89" i="10"/>
  <c r="X90" i="10"/>
  <c r="X93" i="10"/>
  <c r="X94" i="10"/>
  <c r="X95" i="10"/>
  <c r="X62" i="10"/>
  <c r="X63" i="10"/>
  <c r="X65" i="10"/>
  <c r="X66" i="10"/>
  <c r="X67" i="10"/>
  <c r="X68" i="10"/>
  <c r="X69" i="10"/>
  <c r="X70" i="10"/>
  <c r="X71" i="10"/>
  <c r="X73" i="10"/>
  <c r="X74" i="10"/>
  <c r="X75" i="10"/>
  <c r="X76" i="10"/>
  <c r="X77" i="10"/>
  <c r="X78" i="10"/>
  <c r="X46" i="10"/>
  <c r="X47" i="10"/>
  <c r="X48" i="10"/>
  <c r="X49" i="10"/>
  <c r="X235" i="10"/>
  <c r="X230" i="10"/>
  <c r="X229" i="10"/>
  <c r="X205" i="10"/>
  <c r="X202" i="10"/>
  <c r="X198" i="10"/>
  <c r="X197" i="10"/>
  <c r="X196" i="10"/>
  <c r="X179" i="10"/>
  <c r="X178" i="10"/>
  <c r="X145" i="10"/>
  <c r="X140" i="10"/>
  <c r="X138" i="10"/>
  <c r="X127" i="10"/>
  <c r="X87" i="10"/>
  <c r="X45" i="10"/>
  <c r="X25" i="10"/>
  <c r="X26" i="10"/>
  <c r="X24" i="10"/>
  <c r="X13" i="10"/>
  <c r="W9" i="10"/>
  <c r="H199" i="22" l="1"/>
  <c r="I199" i="22" s="1"/>
  <c r="H199" i="23"/>
  <c r="I199" i="23" s="1"/>
  <c r="H210" i="22"/>
  <c r="I210" i="22" s="1"/>
  <c r="I221" i="18"/>
  <c r="K221" i="18" a="1"/>
  <c r="K221" i="18" s="1"/>
  <c r="I214" i="18"/>
  <c r="K214" i="18" a="1"/>
  <c r="K214" i="18" s="1"/>
  <c r="I220" i="18"/>
  <c r="K220" i="18" a="1"/>
  <c r="K220" i="18" s="1"/>
  <c r="I219" i="18"/>
  <c r="K219" i="18" a="1"/>
  <c r="K219" i="18" s="1"/>
  <c r="I218" i="18"/>
  <c r="K218" i="18" a="1"/>
  <c r="K218" i="18" s="1"/>
  <c r="I217" i="18"/>
  <c r="K217" i="18" a="1"/>
  <c r="K217" i="18" s="1"/>
  <c r="W134" i="10"/>
  <c r="W136" i="10"/>
  <c r="O155" i="10"/>
  <c r="K153" i="18" s="1" a="1"/>
  <c r="K153" i="18" s="1"/>
  <c r="W221" i="10"/>
  <c r="W74" i="10"/>
  <c r="W205" i="10"/>
  <c r="W73" i="10"/>
  <c r="W63" i="10"/>
  <c r="W96" i="10"/>
  <c r="W65" i="10"/>
  <c r="W47" i="10"/>
  <c r="W71" i="10"/>
  <c r="W62" i="10"/>
  <c r="W138" i="10"/>
  <c r="W145" i="10"/>
  <c r="W25" i="10"/>
  <c r="W178" i="10"/>
  <c r="W230" i="10"/>
  <c r="W46" i="10"/>
  <c r="W70" i="10"/>
  <c r="W95" i="10"/>
  <c r="W49" i="10"/>
  <c r="W26" i="10"/>
  <c r="W179" i="10"/>
  <c r="W235" i="10"/>
  <c r="W78" i="10"/>
  <c r="W69" i="10"/>
  <c r="W94" i="10"/>
  <c r="H199" i="19"/>
  <c r="M202" i="18"/>
  <c r="W24" i="10"/>
  <c r="W196" i="10"/>
  <c r="W68" i="10"/>
  <c r="W93" i="10"/>
  <c r="W88" i="10"/>
  <c r="W229" i="10"/>
  <c r="W45" i="10"/>
  <c r="W77" i="10"/>
  <c r="W87" i="10"/>
  <c r="W197" i="10"/>
  <c r="W76" i="10"/>
  <c r="W67" i="10"/>
  <c r="W90" i="10"/>
  <c r="W202" i="10"/>
  <c r="W140" i="10"/>
  <c r="W48" i="10"/>
  <c r="W127" i="10"/>
  <c r="W198" i="10"/>
  <c r="W75" i="10"/>
  <c r="W66" i="10"/>
  <c r="W89" i="10"/>
  <c r="O134" i="10"/>
  <c r="K133" i="18" s="1" a="1"/>
  <c r="K133" i="18" s="1"/>
  <c r="O136" i="10"/>
  <c r="K135" i="18" s="1" a="1"/>
  <c r="K135" i="18" s="1"/>
  <c r="J224" i="10"/>
  <c r="W13" i="10"/>
  <c r="H12" i="19"/>
  <c r="H11" i="19"/>
  <c r="H211" i="22" l="1"/>
  <c r="I211" i="22" s="1"/>
  <c r="H211" i="23"/>
  <c r="I211" i="23" s="1"/>
  <c r="H214" i="22"/>
  <c r="I214" i="22" s="1"/>
  <c r="H214" i="23"/>
  <c r="I214" i="23" s="1"/>
  <c r="H131" i="22"/>
  <c r="I131" i="22" s="1"/>
  <c r="H131" i="23"/>
  <c r="I131" i="23" s="1"/>
  <c r="H150" i="22"/>
  <c r="I150" i="22" s="1"/>
  <c r="H150" i="23"/>
  <c r="I150" i="23" s="1"/>
  <c r="H215" i="22"/>
  <c r="I215" i="22" s="1"/>
  <c r="H215" i="23"/>
  <c r="I215" i="23" s="1"/>
  <c r="H216" i="22"/>
  <c r="I216" i="22" s="1"/>
  <c r="H216" i="23"/>
  <c r="I216" i="23" s="1"/>
  <c r="H218" i="22"/>
  <c r="I218" i="22" s="1"/>
  <c r="K208" i="22" s="1"/>
  <c r="M208" i="22" s="1"/>
  <c r="H218" i="23"/>
  <c r="I218" i="23" s="1"/>
  <c r="H129" i="22"/>
  <c r="I129" i="22" s="1"/>
  <c r="H129" i="23"/>
  <c r="I129" i="23" s="1"/>
  <c r="H217" i="22"/>
  <c r="I217" i="22" s="1"/>
  <c r="H217" i="23"/>
  <c r="I217" i="23" s="1"/>
  <c r="M135" i="18"/>
  <c r="H150" i="19"/>
  <c r="M153" i="18"/>
  <c r="H129" i="19"/>
  <c r="I129" i="19" s="1"/>
  <c r="M133" i="18"/>
  <c r="H131" i="19"/>
  <c r="I131" i="19" s="1"/>
  <c r="H217" i="19"/>
  <c r="J138" i="10"/>
  <c r="J140" i="10"/>
  <c r="K208" i="23" l="1"/>
  <c r="J208" i="22"/>
  <c r="F208" i="22"/>
  <c r="F207" i="22"/>
  <c r="M207" i="22" s="1"/>
  <c r="O138" i="10"/>
  <c r="K137" i="18" s="1" a="1"/>
  <c r="K137" i="18" s="1"/>
  <c r="O140" i="10"/>
  <c r="K139" i="18" s="1" a="1"/>
  <c r="K139" i="18" s="1"/>
  <c r="H135" i="22" l="1"/>
  <c r="I135" i="22" s="1"/>
  <c r="H135" i="23"/>
  <c r="I135" i="23" s="1"/>
  <c r="H133" i="22"/>
  <c r="I133" i="22" s="1"/>
  <c r="H133" i="23"/>
  <c r="I133" i="23" s="1"/>
  <c r="F208" i="23"/>
  <c r="J208" i="23"/>
  <c r="M208" i="23"/>
  <c r="M139" i="18"/>
  <c r="M137" i="18"/>
  <c r="H135" i="19"/>
  <c r="I135" i="19" s="1"/>
  <c r="H133" i="19"/>
  <c r="I133" i="19" s="1"/>
  <c r="D114" i="16"/>
  <c r="F114" i="16" s="1"/>
  <c r="D113" i="16"/>
  <c r="F113" i="16" s="1"/>
  <c r="H206" i="19" l="1"/>
  <c r="I206" i="19" s="1"/>
  <c r="E94" i="18" l="1"/>
  <c r="F91" i="22" s="1"/>
  <c r="M91" i="22" s="1"/>
  <c r="E95" i="18"/>
  <c r="F92" i="22" s="1"/>
  <c r="M92" i="22" s="1"/>
  <c r="E92" i="18"/>
  <c r="F89" i="22" s="1"/>
  <c r="M89" i="22" s="1"/>
  <c r="E87" i="18"/>
  <c r="F84" i="22" s="1"/>
  <c r="M84" i="22" s="1"/>
  <c r="E88" i="18"/>
  <c r="F85" i="22" s="1"/>
  <c r="M85" i="22" s="1"/>
  <c r="E89" i="18"/>
  <c r="F86" i="22" s="1"/>
  <c r="M86" i="22" s="1"/>
  <c r="E86" i="18"/>
  <c r="F83" i="22" s="1"/>
  <c r="M83" i="22" s="1"/>
  <c r="M209" i="18"/>
  <c r="M170" i="18"/>
  <c r="B85" i="16"/>
  <c r="B87" i="16"/>
  <c r="B84" i="16"/>
  <c r="B79" i="16"/>
  <c r="B81" i="16"/>
  <c r="B78" i="16"/>
  <c r="B75" i="16"/>
  <c r="B76" i="16"/>
  <c r="B74" i="16"/>
  <c r="B73" i="16"/>
  <c r="I32" i="16"/>
  <c r="E42" i="16"/>
  <c r="H43" i="16"/>
  <c r="E49" i="16"/>
  <c r="F49" i="16" s="1"/>
  <c r="G49" i="16" s="1"/>
  <c r="E50" i="16"/>
  <c r="F50" i="16" s="1"/>
  <c r="G50" i="16" s="1"/>
  <c r="G16" i="16" s="1"/>
  <c r="E51" i="16"/>
  <c r="F51" i="16" s="1"/>
  <c r="E52" i="16"/>
  <c r="F52" i="16" s="1"/>
  <c r="E55" i="16"/>
  <c r="E63" i="18" s="1"/>
  <c r="I55" i="16"/>
  <c r="E71" i="18" s="1"/>
  <c r="F70" i="22" s="1"/>
  <c r="M70" i="22" s="1"/>
  <c r="E65" i="18"/>
  <c r="F64" i="22" s="1"/>
  <c r="M64" i="22" s="1"/>
  <c r="E61" i="16"/>
  <c r="G61" i="16" s="1"/>
  <c r="H61" i="16" s="1"/>
  <c r="F61" i="16"/>
  <c r="E62" i="16"/>
  <c r="G62" i="16" s="1"/>
  <c r="H62" i="16" s="1"/>
  <c r="F62" i="16"/>
  <c r="E63" i="16"/>
  <c r="G63" i="16" s="1"/>
  <c r="H63" i="16" s="1"/>
  <c r="F63" i="16"/>
  <c r="E64" i="16"/>
  <c r="G64" i="16" s="1"/>
  <c r="H64" i="16" s="1"/>
  <c r="F64" i="16"/>
  <c r="E66" i="16"/>
  <c r="F66" i="16"/>
  <c r="E67" i="16"/>
  <c r="F67" i="16"/>
  <c r="E64" i="18" s="1"/>
  <c r="F67" i="22"/>
  <c r="M67" i="22" s="1"/>
  <c r="J235" i="10"/>
  <c r="J229" i="10"/>
  <c r="J217" i="10"/>
  <c r="J202" i="10"/>
  <c r="K235" i="22" l="1"/>
  <c r="M235" i="22" s="1"/>
  <c r="E28" i="18"/>
  <c r="E9" i="18"/>
  <c r="F8" i="23" s="1"/>
  <c r="M8" i="23" s="1"/>
  <c r="G15" i="16"/>
  <c r="F23" i="22"/>
  <c r="M23" i="22" s="1"/>
  <c r="G67" i="16"/>
  <c r="H67" i="16" s="1"/>
  <c r="G66" i="16"/>
  <c r="H66" i="16" s="1"/>
  <c r="I43" i="16"/>
  <c r="O202" i="10"/>
  <c r="K198" i="18" s="1" a="1"/>
  <c r="K198" i="18" s="1"/>
  <c r="H195" i="23" s="1"/>
  <c r="I195" i="23" s="1"/>
  <c r="I239" i="19"/>
  <c r="K235" i="19" s="1"/>
  <c r="M213" i="18"/>
  <c r="H210" i="19"/>
  <c r="I210" i="19" s="1"/>
  <c r="M169" i="18"/>
  <c r="I154" i="19"/>
  <c r="F85" i="19"/>
  <c r="M85" i="19" s="1"/>
  <c r="I88" i="18"/>
  <c r="F89" i="19"/>
  <c r="M89" i="19" s="1"/>
  <c r="I92" i="18"/>
  <c r="F86" i="19"/>
  <c r="M86" i="19" s="1"/>
  <c r="I89" i="18"/>
  <c r="F83" i="19"/>
  <c r="M83" i="19" s="1"/>
  <c r="I86" i="18"/>
  <c r="F84" i="19"/>
  <c r="M84" i="19" s="1"/>
  <c r="I87" i="18"/>
  <c r="F91" i="19"/>
  <c r="M91" i="19" s="1"/>
  <c r="I94" i="18"/>
  <c r="F92" i="19"/>
  <c r="M92" i="19" s="1"/>
  <c r="I95" i="18"/>
  <c r="F90" i="19"/>
  <c r="M90" i="19" s="1"/>
  <c r="I93" i="18"/>
  <c r="I217" i="19"/>
  <c r="F64" i="19"/>
  <c r="M64" i="19" s="1"/>
  <c r="I65" i="18"/>
  <c r="F67" i="19"/>
  <c r="M67" i="19" s="1"/>
  <c r="I68" i="18"/>
  <c r="F70" i="19"/>
  <c r="M70" i="19" s="1"/>
  <c r="I71" i="18"/>
  <c r="M49" i="18"/>
  <c r="H46" i="19"/>
  <c r="G19" i="16"/>
  <c r="I199" i="19"/>
  <c r="J230" i="10"/>
  <c r="J218" i="10"/>
  <c r="J221" i="10"/>
  <c r="J239" i="10"/>
  <c r="J222" i="10"/>
  <c r="J240" i="10"/>
  <c r="M220" i="18"/>
  <c r="J225" i="10"/>
  <c r="J223" i="10"/>
  <c r="J205" i="10"/>
  <c r="F62" i="22"/>
  <c r="M62" i="22" s="1"/>
  <c r="F59" i="22"/>
  <c r="M59" i="22" s="1"/>
  <c r="F66" i="22"/>
  <c r="M66" i="22" s="1"/>
  <c r="O229" i="10"/>
  <c r="K225" i="18" s="1" a="1"/>
  <c r="K225" i="18" s="1"/>
  <c r="O235" i="10"/>
  <c r="K231" i="18" s="1" a="1"/>
  <c r="K231" i="18" s="1"/>
  <c r="E68" i="16"/>
  <c r="G68" i="16" s="1"/>
  <c r="F68" i="16"/>
  <c r="H49" i="16"/>
  <c r="H52" i="16"/>
  <c r="I52" i="16" s="1"/>
  <c r="H18" i="16" s="1"/>
  <c r="G52" i="16"/>
  <c r="G18" i="16" s="1"/>
  <c r="H50" i="16"/>
  <c r="I50" i="16" s="1"/>
  <c r="G51" i="16"/>
  <c r="G17" i="16" s="1"/>
  <c r="H51" i="16"/>
  <c r="I51" i="16" s="1"/>
  <c r="H17" i="16" s="1"/>
  <c r="H228" i="22" l="1"/>
  <c r="I228" i="22" s="1"/>
  <c r="H228" i="23"/>
  <c r="I228" i="23" s="1"/>
  <c r="I46" i="22"/>
  <c r="I46" i="23"/>
  <c r="H222" i="22"/>
  <c r="I222" i="22" s="1"/>
  <c r="H222" i="23"/>
  <c r="I222" i="23" s="1"/>
  <c r="E11" i="18"/>
  <c r="F10" i="23" s="1"/>
  <c r="M10" i="23" s="1"/>
  <c r="F18" i="22"/>
  <c r="M18" i="22" s="1"/>
  <c r="F18" i="23"/>
  <c r="M18" i="23" s="1"/>
  <c r="E21" i="18"/>
  <c r="F27" i="19" s="1"/>
  <c r="M27" i="19" s="1"/>
  <c r="E39" i="18"/>
  <c r="F35" i="23" s="1"/>
  <c r="M35" i="23" s="1"/>
  <c r="H195" i="22"/>
  <c r="I195" i="22" s="1"/>
  <c r="H195" i="19"/>
  <c r="I195" i="19" s="1"/>
  <c r="M198" i="18"/>
  <c r="J235" i="22"/>
  <c r="F234" i="22"/>
  <c r="M234" i="22" s="1"/>
  <c r="F235" i="22"/>
  <c r="F18" i="19"/>
  <c r="M18" i="19" s="1"/>
  <c r="I28" i="18"/>
  <c r="M28" i="18"/>
  <c r="I18" i="23" s="1"/>
  <c r="E27" i="18"/>
  <c r="I11" i="18"/>
  <c r="M11" i="18"/>
  <c r="C22" i="20"/>
  <c r="H16" i="16"/>
  <c r="J235" i="19"/>
  <c r="M235" i="19"/>
  <c r="E10" i="18"/>
  <c r="F9" i="23" s="1"/>
  <c r="M9" i="23" s="1"/>
  <c r="F11" i="22"/>
  <c r="M11" i="22" s="1"/>
  <c r="G20" i="16"/>
  <c r="D110" i="16"/>
  <c r="F110" i="16" s="1"/>
  <c r="I17" i="18"/>
  <c r="F24" i="22"/>
  <c r="M24" i="22" s="1"/>
  <c r="H68" i="16"/>
  <c r="D111" i="16"/>
  <c r="F111" i="16" s="1"/>
  <c r="I46" i="19"/>
  <c r="O205" i="10"/>
  <c r="K201" i="18" s="1" a="1"/>
  <c r="K201" i="18" s="1"/>
  <c r="O230" i="10"/>
  <c r="K226" i="18" s="1" a="1"/>
  <c r="K226" i="18" s="1"/>
  <c r="F235" i="19"/>
  <c r="F234" i="19"/>
  <c r="M234" i="19" s="1"/>
  <c r="M221" i="18"/>
  <c r="H218" i="19"/>
  <c r="I218" i="19" s="1"/>
  <c r="M207" i="18"/>
  <c r="H204" i="19"/>
  <c r="I204" i="19" s="1"/>
  <c r="M214" i="18"/>
  <c r="H211" i="19"/>
  <c r="I211" i="19" s="1"/>
  <c r="M205" i="18"/>
  <c r="I202" i="19"/>
  <c r="M218" i="18"/>
  <c r="H215" i="19"/>
  <c r="I215" i="19" s="1"/>
  <c r="M236" i="18"/>
  <c r="H233" i="19"/>
  <c r="I233" i="19" s="1"/>
  <c r="M235" i="18"/>
  <c r="H232" i="19"/>
  <c r="I232" i="19" s="1"/>
  <c r="M219" i="18"/>
  <c r="H216" i="19"/>
  <c r="I216" i="19" s="1"/>
  <c r="M217" i="18"/>
  <c r="H214" i="19"/>
  <c r="I214" i="19" s="1"/>
  <c r="M208" i="18"/>
  <c r="H205" i="19"/>
  <c r="I205" i="19" s="1"/>
  <c r="F59" i="19"/>
  <c r="M59" i="19" s="1"/>
  <c r="I60" i="18"/>
  <c r="F62" i="19"/>
  <c r="M62" i="19" s="1"/>
  <c r="I63" i="18"/>
  <c r="F66" i="19"/>
  <c r="M66" i="19" s="1"/>
  <c r="I67" i="18"/>
  <c r="I49" i="16"/>
  <c r="I78" i="16" s="1"/>
  <c r="H198" i="22" l="1"/>
  <c r="I198" i="22" s="1"/>
  <c r="H198" i="23"/>
  <c r="I198" i="23" s="1"/>
  <c r="K193" i="23" s="1"/>
  <c r="H223" i="22"/>
  <c r="I223" i="22" s="1"/>
  <c r="K220" i="22" s="1"/>
  <c r="H223" i="23"/>
  <c r="I223" i="23" s="1"/>
  <c r="K220" i="23" s="1"/>
  <c r="I10" i="19"/>
  <c r="I10" i="23"/>
  <c r="F17" i="22"/>
  <c r="M17" i="22" s="1"/>
  <c r="F17" i="23"/>
  <c r="M17" i="23" s="1"/>
  <c r="F27" i="22"/>
  <c r="M27" i="22" s="1"/>
  <c r="I21" i="18"/>
  <c r="I39" i="18"/>
  <c r="F35" i="19"/>
  <c r="M35" i="19" s="1"/>
  <c r="F35" i="22"/>
  <c r="M35" i="22" s="1"/>
  <c r="M39" i="18"/>
  <c r="I35" i="23" s="1"/>
  <c r="J29" i="23" s="1"/>
  <c r="I18" i="22"/>
  <c r="I18" i="19"/>
  <c r="H198" i="19"/>
  <c r="I198" i="19" s="1"/>
  <c r="M201" i="18"/>
  <c r="J220" i="22"/>
  <c r="M220" i="22"/>
  <c r="F220" i="22"/>
  <c r="F219" i="22"/>
  <c r="M219" i="22" s="1"/>
  <c r="H223" i="19"/>
  <c r="I223" i="19" s="1"/>
  <c r="M226" i="18"/>
  <c r="K193" i="22"/>
  <c r="M21" i="22"/>
  <c r="F17" i="19"/>
  <c r="M17" i="19" s="1"/>
  <c r="M27" i="18"/>
  <c r="I17" i="23" s="1"/>
  <c r="I27" i="18"/>
  <c r="E41" i="16"/>
  <c r="C41" i="20"/>
  <c r="G29" i="20" s="1"/>
  <c r="C23" i="20"/>
  <c r="C25" i="20" s="1"/>
  <c r="F25" i="22"/>
  <c r="M25" i="22" s="1"/>
  <c r="K57" i="20"/>
  <c r="K56" i="20"/>
  <c r="K59" i="20"/>
  <c r="C54" i="20" s="1"/>
  <c r="K58" i="20"/>
  <c r="C52" i="20" s="1"/>
  <c r="F9" i="22"/>
  <c r="M9" i="22" s="1"/>
  <c r="I10" i="18"/>
  <c r="F9" i="19"/>
  <c r="M9" i="19" s="1"/>
  <c r="F11" i="19"/>
  <c r="M11" i="19" s="1"/>
  <c r="F10" i="22"/>
  <c r="M10" i="22" s="1"/>
  <c r="F10" i="19"/>
  <c r="M10" i="19" s="1"/>
  <c r="H15" i="16"/>
  <c r="E66" i="18"/>
  <c r="F65" i="23" s="1"/>
  <c r="M65" i="23" s="1"/>
  <c r="K208" i="19"/>
  <c r="K230" i="19"/>
  <c r="I19" i="18"/>
  <c r="I18" i="18"/>
  <c r="F8" i="19"/>
  <c r="M8" i="19" s="1"/>
  <c r="F8" i="22"/>
  <c r="M8" i="22" s="1"/>
  <c r="F116" i="16"/>
  <c r="I75" i="20"/>
  <c r="K75" i="20" s="1"/>
  <c r="K74" i="20"/>
  <c r="K73" i="20"/>
  <c r="I12" i="18"/>
  <c r="I9" i="18"/>
  <c r="M199" i="18"/>
  <c r="H196" i="19"/>
  <c r="I196" i="19" s="1"/>
  <c r="M225" i="18"/>
  <c r="H222" i="19"/>
  <c r="I222" i="19" s="1"/>
  <c r="M231" i="18"/>
  <c r="H228" i="19"/>
  <c r="I228" i="19" s="1"/>
  <c r="F220" i="23" l="1"/>
  <c r="F219" i="23"/>
  <c r="M219" i="23" s="1"/>
  <c r="M220" i="23"/>
  <c r="J220" i="23"/>
  <c r="J193" i="23"/>
  <c r="F193" i="23"/>
  <c r="M193" i="23"/>
  <c r="M29" i="23"/>
  <c r="F29" i="23"/>
  <c r="I35" i="19"/>
  <c r="I35" i="22"/>
  <c r="J29" i="22" s="1"/>
  <c r="I17" i="22"/>
  <c r="I17" i="19"/>
  <c r="F192" i="22"/>
  <c r="M192" i="22" s="1"/>
  <c r="J193" i="22"/>
  <c r="F193" i="22"/>
  <c r="M193" i="22"/>
  <c r="M208" i="19"/>
  <c r="K29" i="20"/>
  <c r="I29" i="20"/>
  <c r="F118" i="16"/>
  <c r="H118" i="16" s="1"/>
  <c r="AA250" i="18" s="1"/>
  <c r="AD250" i="18" s="1"/>
  <c r="AC251" i="18" s="1"/>
  <c r="C51" i="20"/>
  <c r="C55" i="20" s="1"/>
  <c r="J230" i="19"/>
  <c r="M230" i="19"/>
  <c r="E81" i="18"/>
  <c r="K220" i="19"/>
  <c r="K193" i="19"/>
  <c r="F65" i="19"/>
  <c r="M65" i="19" s="1"/>
  <c r="F65" i="22"/>
  <c r="M65" i="22" s="1"/>
  <c r="M207" i="19"/>
  <c r="J208" i="19"/>
  <c r="C69" i="20"/>
  <c r="C71" i="20"/>
  <c r="F208" i="19"/>
  <c r="F230" i="19"/>
  <c r="F229" i="19"/>
  <c r="M229" i="19" s="1"/>
  <c r="I66" i="18"/>
  <c r="I81" i="18" l="1"/>
  <c r="F79" i="23"/>
  <c r="M79" i="23" s="1"/>
  <c r="M29" i="22"/>
  <c r="F29" i="22"/>
  <c r="I39" i="20"/>
  <c r="K39" i="20" s="1"/>
  <c r="I38" i="20"/>
  <c r="K38" i="20" s="1"/>
  <c r="K33" i="20"/>
  <c r="I41" i="20"/>
  <c r="K34" i="20"/>
  <c r="I40" i="20"/>
  <c r="K40" i="20" s="1"/>
  <c r="C34" i="20" s="1"/>
  <c r="C15" i="20" s="1"/>
  <c r="J193" i="19"/>
  <c r="M193" i="19"/>
  <c r="J220" i="19"/>
  <c r="M220" i="19"/>
  <c r="M192" i="19"/>
  <c r="F193" i="19"/>
  <c r="F79" i="22"/>
  <c r="M79" i="22" s="1"/>
  <c r="F79" i="19"/>
  <c r="M79" i="19" s="1"/>
  <c r="M81" i="18"/>
  <c r="F63" i="22"/>
  <c r="M63" i="22" s="1"/>
  <c r="F63" i="19"/>
  <c r="M63" i="19" s="1"/>
  <c r="I64" i="18"/>
  <c r="C72" i="20"/>
  <c r="F220" i="19"/>
  <c r="F219" i="19"/>
  <c r="M219" i="19" s="1"/>
  <c r="K41" i="20" l="1"/>
  <c r="C36" i="20" s="1"/>
  <c r="I79" i="22"/>
  <c r="I78" i="22" s="1"/>
  <c r="J77" i="22" s="1"/>
  <c r="I79" i="23"/>
  <c r="I78" i="23" s="1"/>
  <c r="J77" i="23" s="1"/>
  <c r="C35" i="20"/>
  <c r="C33" i="20"/>
  <c r="F77" i="22"/>
  <c r="M77" i="22"/>
  <c r="I79" i="19"/>
  <c r="I78" i="19" s="1"/>
  <c r="J77" i="19" s="1"/>
  <c r="J9" i="10"/>
  <c r="C16" i="20" l="1"/>
  <c r="F77" i="23"/>
  <c r="M77" i="23"/>
  <c r="M77" i="19"/>
  <c r="C14" i="20"/>
  <c r="C37" i="20"/>
  <c r="F77" i="19"/>
  <c r="F48" i="19"/>
  <c r="H143" i="19"/>
  <c r="I143" i="19" s="1"/>
  <c r="M147" i="18"/>
  <c r="M9" i="18"/>
  <c r="I8" i="23" s="1"/>
  <c r="C18" i="20" l="1"/>
  <c r="I8" i="22"/>
  <c r="I8" i="19"/>
  <c r="J179" i="10" l="1"/>
  <c r="J178" i="10"/>
  <c r="K181" i="10" l="1"/>
  <c r="AA181" i="10"/>
  <c r="I182" i="18"/>
  <c r="I184" i="18"/>
  <c r="I185" i="18"/>
  <c r="H176" i="18"/>
  <c r="X181" i="10"/>
  <c r="H177" i="18"/>
  <c r="X184" i="10"/>
  <c r="I181" i="18"/>
  <c r="O178" i="10"/>
  <c r="K174" i="18" s="1" a="1"/>
  <c r="K174" i="18" s="1"/>
  <c r="O179" i="10"/>
  <c r="K175" i="18" s="1" a="1"/>
  <c r="K175" i="18" s="1"/>
  <c r="H173" i="22" l="1"/>
  <c r="I173" i="22" s="1"/>
  <c r="H173" i="23"/>
  <c r="I173" i="23" s="1"/>
  <c r="H172" i="22"/>
  <c r="I172" i="22" s="1"/>
  <c r="H172" i="23"/>
  <c r="I172" i="23" s="1"/>
  <c r="I176" i="18"/>
  <c r="K176" i="18" a="1"/>
  <c r="K176" i="18" s="1"/>
  <c r="I177" i="18"/>
  <c r="K177" i="18" a="1"/>
  <c r="K177" i="18" s="1"/>
  <c r="W184" i="10"/>
  <c r="W181" i="10"/>
  <c r="K96" i="10"/>
  <c r="K94" i="10"/>
  <c r="K127" i="10"/>
  <c r="K88" i="10"/>
  <c r="K95" i="10"/>
  <c r="K90" i="10"/>
  <c r="K89" i="10"/>
  <c r="K87" i="10"/>
  <c r="J198" i="10"/>
  <c r="J87" i="10"/>
  <c r="J135" i="10"/>
  <c r="O145" i="10"/>
  <c r="K144" i="18" s="1" a="1"/>
  <c r="K144" i="18" s="1"/>
  <c r="H140" i="23" s="1"/>
  <c r="I140" i="23" s="1"/>
  <c r="J132" i="10"/>
  <c r="J133" i="10"/>
  <c r="J127" i="10"/>
  <c r="J130" i="10"/>
  <c r="J197" i="10"/>
  <c r="J181" i="10"/>
  <c r="J129" i="10"/>
  <c r="J131" i="10"/>
  <c r="J196" i="10"/>
  <c r="X72" i="10"/>
  <c r="X64" i="10"/>
  <c r="J70" i="10"/>
  <c r="H174" i="22" l="1"/>
  <c r="I174" i="22" s="1"/>
  <c r="H174" i="23"/>
  <c r="I174" i="23" s="1"/>
  <c r="H175" i="22"/>
  <c r="I175" i="22" s="1"/>
  <c r="H175" i="23"/>
  <c r="I175" i="23" s="1"/>
  <c r="H140" i="22"/>
  <c r="I140" i="22" s="1"/>
  <c r="M144" i="18"/>
  <c r="H140" i="19"/>
  <c r="I140" i="19" s="1"/>
  <c r="I250" i="18"/>
  <c r="D55" i="20" s="1"/>
  <c r="M158" i="22"/>
  <c r="W72" i="10"/>
  <c r="W64" i="10"/>
  <c r="M174" i="18"/>
  <c r="H172" i="19"/>
  <c r="I172" i="19" s="1"/>
  <c r="M175" i="18"/>
  <c r="H173" i="19"/>
  <c r="I173" i="19" s="1"/>
  <c r="O70" i="10"/>
  <c r="K69" i="18" s="1" a="1"/>
  <c r="K69" i="18" s="1"/>
  <c r="H24" i="22"/>
  <c r="O129" i="10"/>
  <c r="K128" i="18" s="1" a="1"/>
  <c r="K128" i="18" s="1"/>
  <c r="H124" i="23" s="1"/>
  <c r="I124" i="23" s="1"/>
  <c r="W129" i="10"/>
  <c r="J64" i="10"/>
  <c r="J72" i="10"/>
  <c r="O184" i="10"/>
  <c r="K180" i="18" s="1" a="1"/>
  <c r="K180" i="18" s="1"/>
  <c r="O196" i="10"/>
  <c r="K192" i="18" s="1" a="1"/>
  <c r="K192" i="18" s="1"/>
  <c r="O197" i="10"/>
  <c r="K193" i="18" s="1" a="1"/>
  <c r="K193" i="18" s="1"/>
  <c r="H25" i="22"/>
  <c r="O87" i="10"/>
  <c r="O127" i="10"/>
  <c r="K126" i="18" s="1" a="1"/>
  <c r="K126" i="18" s="1"/>
  <c r="H122" i="23" s="1"/>
  <c r="I122" i="23" s="1"/>
  <c r="O198" i="10"/>
  <c r="K194" i="18" s="1" a="1"/>
  <c r="K194" i="18" s="1"/>
  <c r="J66" i="10"/>
  <c r="J67" i="10"/>
  <c r="J78" i="10"/>
  <c r="J69" i="10"/>
  <c r="J77" i="10"/>
  <c r="J63" i="10"/>
  <c r="J65" i="10"/>
  <c r="J68" i="10"/>
  <c r="J73" i="10"/>
  <c r="J74" i="10"/>
  <c r="J71" i="10"/>
  <c r="J75" i="10"/>
  <c r="J62" i="10"/>
  <c r="J76" i="10"/>
  <c r="H178" i="22" l="1"/>
  <c r="I178" i="22" s="1"/>
  <c r="H178" i="23"/>
  <c r="I178" i="23" s="1"/>
  <c r="K171" i="23" s="1"/>
  <c r="H191" i="22"/>
  <c r="I191" i="22" s="1"/>
  <c r="H191" i="23"/>
  <c r="I191" i="23" s="1"/>
  <c r="H190" i="22"/>
  <c r="I190" i="22" s="1"/>
  <c r="K187" i="22" s="1"/>
  <c r="H190" i="23"/>
  <c r="I190" i="23" s="1"/>
  <c r="H68" i="22"/>
  <c r="H68" i="23"/>
  <c r="H189" i="22"/>
  <c r="I189" i="22" s="1"/>
  <c r="H189" i="23"/>
  <c r="I189" i="23" s="1"/>
  <c r="H124" i="22"/>
  <c r="I124" i="22" s="1"/>
  <c r="M128" i="18"/>
  <c r="H124" i="19"/>
  <c r="I124" i="19" s="1"/>
  <c r="K86" i="18" a="1"/>
  <c r="K86" i="18" s="1"/>
  <c r="H122" i="22"/>
  <c r="I122" i="22" s="1"/>
  <c r="M126" i="18"/>
  <c r="E13" i="20"/>
  <c r="M180" i="18"/>
  <c r="H178" i="19"/>
  <c r="I178" i="19" s="1"/>
  <c r="M69" i="18"/>
  <c r="H68" i="19"/>
  <c r="M19" i="18"/>
  <c r="I25" i="23" s="1"/>
  <c r="O71" i="10"/>
  <c r="K70" i="18" s="1" a="1"/>
  <c r="K70" i="18" s="1"/>
  <c r="O75" i="10"/>
  <c r="K74" i="18" s="1" a="1"/>
  <c r="K74" i="18" s="1"/>
  <c r="O132" i="10"/>
  <c r="K131" i="18" s="1" a="1"/>
  <c r="K131" i="18" s="1"/>
  <c r="H127" i="23" s="1"/>
  <c r="I127" i="23" s="1"/>
  <c r="W132" i="10"/>
  <c r="O130" i="10"/>
  <c r="K129" i="18" s="1" a="1"/>
  <c r="K129" i="18" s="1"/>
  <c r="H125" i="23" s="1"/>
  <c r="I125" i="23" s="1"/>
  <c r="J121" i="23" s="1"/>
  <c r="W130" i="10"/>
  <c r="O133" i="10"/>
  <c r="K132" i="18" s="1" a="1"/>
  <c r="K132" i="18" s="1"/>
  <c r="H128" i="23" s="1"/>
  <c r="I128" i="23" s="1"/>
  <c r="W133" i="10"/>
  <c r="O131" i="10"/>
  <c r="K130" i="18" s="1" a="1"/>
  <c r="K130" i="18" s="1"/>
  <c r="H126" i="23" s="1"/>
  <c r="I126" i="23" s="1"/>
  <c r="W131" i="10"/>
  <c r="O135" i="10"/>
  <c r="K134" i="18" s="1" a="1"/>
  <c r="K134" i="18" s="1"/>
  <c r="H130" i="23" s="1"/>
  <c r="I130" i="23" s="1"/>
  <c r="W135" i="10"/>
  <c r="O72" i="10"/>
  <c r="K71" i="18" s="1" a="1"/>
  <c r="K71" i="18" s="1"/>
  <c r="O68" i="10"/>
  <c r="K67" i="18" s="1" a="1"/>
  <c r="K67" i="18" s="1"/>
  <c r="O67" i="10"/>
  <c r="K66" i="18" s="1" a="1"/>
  <c r="K66" i="18" s="1"/>
  <c r="O65" i="10"/>
  <c r="K64" i="18" s="1" a="1"/>
  <c r="K64" i="18" s="1"/>
  <c r="O76" i="10"/>
  <c r="K75" i="18" s="1" a="1"/>
  <c r="K75" i="18" s="1"/>
  <c r="O63" i="10"/>
  <c r="K62" i="18" s="1" a="1"/>
  <c r="K62" i="18" s="1"/>
  <c r="O73" i="10"/>
  <c r="K72" i="18" s="1" a="1"/>
  <c r="K72" i="18" s="1"/>
  <c r="O62" i="10"/>
  <c r="K61" i="18" s="1" a="1"/>
  <c r="K61" i="18" s="1"/>
  <c r="O77" i="10"/>
  <c r="K76" i="18" s="1" a="1"/>
  <c r="K76" i="18" s="1"/>
  <c r="O69" i="10"/>
  <c r="K68" i="18" s="1" a="1"/>
  <c r="K68" i="18" s="1"/>
  <c r="O66" i="10"/>
  <c r="K65" i="18" s="1" a="1"/>
  <c r="K65" i="18" s="1"/>
  <c r="O64" i="10"/>
  <c r="K63" i="18" s="1" a="1"/>
  <c r="K63" i="18" s="1"/>
  <c r="O74" i="10"/>
  <c r="K73" i="18" s="1" a="1"/>
  <c r="K73" i="18" s="1"/>
  <c r="H76" i="19"/>
  <c r="F186" i="22" l="1"/>
  <c r="M186" i="22" s="1"/>
  <c r="M187" i="22"/>
  <c r="F187" i="22"/>
  <c r="J187" i="22"/>
  <c r="M121" i="23"/>
  <c r="F121" i="23"/>
  <c r="K120" i="23"/>
  <c r="M171" i="23"/>
  <c r="J171" i="23"/>
  <c r="F171" i="23"/>
  <c r="F158" i="23"/>
  <c r="M158" i="23" s="1"/>
  <c r="H73" i="22"/>
  <c r="H73" i="23"/>
  <c r="H63" i="22"/>
  <c r="H63" i="23"/>
  <c r="H72" i="22"/>
  <c r="H72" i="23"/>
  <c r="H74" i="22"/>
  <c r="H74" i="23"/>
  <c r="H62" i="22"/>
  <c r="H62" i="23"/>
  <c r="H67" i="22"/>
  <c r="H67" i="23"/>
  <c r="H66" i="22"/>
  <c r="H66" i="23"/>
  <c r="I68" i="22"/>
  <c r="I68" i="23"/>
  <c r="K187" i="23"/>
  <c r="H61" i="22"/>
  <c r="H61" i="23"/>
  <c r="H64" i="22"/>
  <c r="H64" i="23"/>
  <c r="H70" i="22"/>
  <c r="H70" i="23"/>
  <c r="K171" i="22"/>
  <c r="H69" i="22"/>
  <c r="H69" i="23"/>
  <c r="H65" i="22"/>
  <c r="H65" i="23"/>
  <c r="H75" i="22"/>
  <c r="H75" i="23"/>
  <c r="H60" i="22"/>
  <c r="H60" i="23"/>
  <c r="H71" i="22"/>
  <c r="H71" i="23"/>
  <c r="H83" i="22"/>
  <c r="H83" i="23"/>
  <c r="H127" i="22"/>
  <c r="I127" i="22" s="1"/>
  <c r="H127" i="19"/>
  <c r="I127" i="19" s="1"/>
  <c r="M131" i="18"/>
  <c r="H130" i="22"/>
  <c r="I130" i="22" s="1"/>
  <c r="M134" i="18"/>
  <c r="H130" i="19"/>
  <c r="I130" i="19" s="1"/>
  <c r="H83" i="19"/>
  <c r="H128" i="22"/>
  <c r="I128" i="22" s="1"/>
  <c r="H128" i="19"/>
  <c r="I128" i="19" s="1"/>
  <c r="M132" i="18"/>
  <c r="H126" i="22"/>
  <c r="I126" i="22" s="1"/>
  <c r="H126" i="19"/>
  <c r="I126" i="19" s="1"/>
  <c r="M130" i="18"/>
  <c r="H125" i="22"/>
  <c r="I125" i="22" s="1"/>
  <c r="M129" i="18"/>
  <c r="H125" i="19"/>
  <c r="I125" i="19" s="1"/>
  <c r="I25" i="22"/>
  <c r="I25" i="19"/>
  <c r="I68" i="19"/>
  <c r="H70" i="19"/>
  <c r="H62" i="19"/>
  <c r="H63" i="19"/>
  <c r="M181" i="18"/>
  <c r="H179" i="19"/>
  <c r="I179" i="19" s="1"/>
  <c r="M176" i="18"/>
  <c r="H174" i="19"/>
  <c r="I174" i="19" s="1"/>
  <c r="M177" i="18"/>
  <c r="H175" i="19"/>
  <c r="I175" i="19" s="1"/>
  <c r="M182" i="18"/>
  <c r="H180" i="19"/>
  <c r="I180" i="19" s="1"/>
  <c r="M192" i="18"/>
  <c r="H189" i="19"/>
  <c r="I189" i="19" s="1"/>
  <c r="M194" i="18"/>
  <c r="H191" i="19"/>
  <c r="I191" i="19" s="1"/>
  <c r="M185" i="18"/>
  <c r="H183" i="19"/>
  <c r="I183" i="19" s="1"/>
  <c r="M193" i="18"/>
  <c r="H190" i="19"/>
  <c r="I190" i="19" s="1"/>
  <c r="H122" i="19"/>
  <c r="M183" i="18"/>
  <c r="H181" i="19"/>
  <c r="I181" i="19" s="1"/>
  <c r="M184" i="18"/>
  <c r="H182" i="19"/>
  <c r="I182" i="19" s="1"/>
  <c r="M86" i="18"/>
  <c r="M18" i="18"/>
  <c r="M76" i="18"/>
  <c r="H75" i="19"/>
  <c r="M70" i="18"/>
  <c r="H69" i="19"/>
  <c r="M75" i="18"/>
  <c r="H74" i="19"/>
  <c r="I136" i="19"/>
  <c r="M77" i="18"/>
  <c r="H72" i="19"/>
  <c r="M63" i="18"/>
  <c r="M71" i="18"/>
  <c r="M64" i="18"/>
  <c r="I70" i="22" l="1"/>
  <c r="I70" i="23"/>
  <c r="I69" i="22"/>
  <c r="I69" i="23"/>
  <c r="I24" i="19"/>
  <c r="I24" i="23"/>
  <c r="F171" i="22"/>
  <c r="J171" i="22"/>
  <c r="F187" i="23"/>
  <c r="M187" i="23"/>
  <c r="J187" i="23"/>
  <c r="M120" i="23"/>
  <c r="F120" i="23"/>
  <c r="I75" i="22"/>
  <c r="I75" i="23"/>
  <c r="M171" i="22"/>
  <c r="I76" i="22"/>
  <c r="I76" i="23"/>
  <c r="I83" i="22"/>
  <c r="I83" i="23"/>
  <c r="I62" i="22"/>
  <c r="I62" i="23"/>
  <c r="I63" i="22"/>
  <c r="I63" i="23"/>
  <c r="I74" i="22"/>
  <c r="I74" i="23"/>
  <c r="J121" i="22"/>
  <c r="F121" i="22" s="1"/>
  <c r="K120" i="22"/>
  <c r="F120" i="22" s="1"/>
  <c r="I24" i="22"/>
  <c r="I122" i="19"/>
  <c r="J121" i="19" s="1"/>
  <c r="K187" i="19"/>
  <c r="K171" i="19"/>
  <c r="I69" i="19"/>
  <c r="I62" i="19"/>
  <c r="I83" i="19"/>
  <c r="I74" i="19"/>
  <c r="I63" i="19"/>
  <c r="I70" i="19"/>
  <c r="I75" i="19"/>
  <c r="I76" i="19"/>
  <c r="M65" i="18"/>
  <c r="H64" i="19"/>
  <c r="M68" i="18"/>
  <c r="H67" i="19"/>
  <c r="M73" i="18"/>
  <c r="M72" i="18"/>
  <c r="H71" i="19"/>
  <c r="M62" i="18"/>
  <c r="H61" i="19"/>
  <c r="M74" i="18"/>
  <c r="H73" i="19"/>
  <c r="M66" i="18"/>
  <c r="H65" i="19"/>
  <c r="M67" i="18"/>
  <c r="H66" i="19"/>
  <c r="M61" i="18"/>
  <c r="H60" i="19"/>
  <c r="I64" i="22" l="1"/>
  <c r="I64" i="23"/>
  <c r="I61" i="22"/>
  <c r="I61" i="23"/>
  <c r="I71" i="22"/>
  <c r="I71" i="23"/>
  <c r="I72" i="22"/>
  <c r="I72" i="23"/>
  <c r="I60" i="22"/>
  <c r="I60" i="23"/>
  <c r="I73" i="22"/>
  <c r="I73" i="23"/>
  <c r="I67" i="22"/>
  <c r="I67" i="23"/>
  <c r="I66" i="22"/>
  <c r="I66" i="23"/>
  <c r="I65" i="22"/>
  <c r="I65" i="23"/>
  <c r="M121" i="22"/>
  <c r="M120" i="22"/>
  <c r="K120" i="19"/>
  <c r="F121" i="19"/>
  <c r="M121" i="19"/>
  <c r="M186" i="19"/>
  <c r="M187" i="19"/>
  <c r="F158" i="19"/>
  <c r="M158" i="19" s="1"/>
  <c r="M171" i="19"/>
  <c r="I61" i="19"/>
  <c r="I66" i="19"/>
  <c r="I67" i="19"/>
  <c r="I65" i="19"/>
  <c r="I71" i="19"/>
  <c r="I72" i="19"/>
  <c r="I73" i="19"/>
  <c r="I64" i="19"/>
  <c r="J187" i="19"/>
  <c r="F187" i="19"/>
  <c r="J171" i="19"/>
  <c r="F171" i="19"/>
  <c r="I60" i="19"/>
  <c r="X156" i="10"/>
  <c r="W156" i="10" l="1"/>
  <c r="X161" i="10"/>
  <c r="X162" i="10"/>
  <c r="X154" i="10"/>
  <c r="X153" i="10"/>
  <c r="W153" i="10" l="1"/>
  <c r="W162" i="10"/>
  <c r="W154" i="10"/>
  <c r="W161" i="10"/>
  <c r="J156" i="10"/>
  <c r="J161" i="10"/>
  <c r="J162" i="10"/>
  <c r="J89" i="10"/>
  <c r="J88" i="10"/>
  <c r="J90" i="10"/>
  <c r="J49" i="10"/>
  <c r="O156" i="10" l="1"/>
  <c r="K154" i="18" s="1" a="1"/>
  <c r="K154" i="18" s="1"/>
  <c r="H151" i="23" s="1"/>
  <c r="I151" i="23" s="1"/>
  <c r="O49" i="10"/>
  <c r="K48" i="18" s="1" a="1"/>
  <c r="K48" i="18" s="1"/>
  <c r="O162" i="10"/>
  <c r="K160" i="18" s="1" a="1"/>
  <c r="K160" i="18" s="1"/>
  <c r="H157" i="23" s="1"/>
  <c r="I157" i="23" s="1"/>
  <c r="O89" i="10"/>
  <c r="K88" i="18" s="1" a="1"/>
  <c r="K88" i="18" s="1"/>
  <c r="O161" i="10"/>
  <c r="K159" i="18" s="1" a="1"/>
  <c r="K159" i="18" s="1"/>
  <c r="H156" i="23" s="1"/>
  <c r="I156" i="23" s="1"/>
  <c r="J153" i="23" s="1"/>
  <c r="O96" i="10"/>
  <c r="K95" i="18" s="1" a="1"/>
  <c r="K95" i="18" s="1"/>
  <c r="O90" i="10"/>
  <c r="K89" i="18" s="1" a="1"/>
  <c r="K89" i="18" s="1"/>
  <c r="O88" i="10"/>
  <c r="K87" i="18" s="1" a="1"/>
  <c r="K87" i="18" s="1"/>
  <c r="O93" i="10"/>
  <c r="K92" i="18" s="1" a="1"/>
  <c r="K92" i="18" s="1"/>
  <c r="O94" i="10"/>
  <c r="K93" i="18" s="1" a="1"/>
  <c r="K93" i="18" s="1"/>
  <c r="O95" i="10"/>
  <c r="K94" i="18" s="1" a="1"/>
  <c r="K94" i="18" s="1"/>
  <c r="J154" i="10"/>
  <c r="J153" i="10"/>
  <c r="J48" i="10"/>
  <c r="J47" i="10"/>
  <c r="J46" i="10"/>
  <c r="J45" i="10"/>
  <c r="F153" i="23" l="1"/>
  <c r="M153" i="23"/>
  <c r="H85" i="22"/>
  <c r="H85" i="23"/>
  <c r="H86" i="22"/>
  <c r="H86" i="23"/>
  <c r="H84" i="22"/>
  <c r="H84" i="23"/>
  <c r="H91" i="22"/>
  <c r="H91" i="23"/>
  <c r="H45" i="22"/>
  <c r="H45" i="23"/>
  <c r="H92" i="22"/>
  <c r="H92" i="23"/>
  <c r="H90" i="22"/>
  <c r="H90" i="23"/>
  <c r="H89" i="22"/>
  <c r="H89" i="23"/>
  <c r="H157" i="22"/>
  <c r="I157" i="22" s="1"/>
  <c r="H157" i="19"/>
  <c r="I157" i="19" s="1"/>
  <c r="M160" i="18"/>
  <c r="H156" i="22"/>
  <c r="I156" i="22" s="1"/>
  <c r="H156" i="19"/>
  <c r="I156" i="19" s="1"/>
  <c r="M159" i="18"/>
  <c r="H151" i="22"/>
  <c r="I151" i="22" s="1"/>
  <c r="M154" i="18"/>
  <c r="H151" i="19"/>
  <c r="I151" i="19" s="1"/>
  <c r="H45" i="19"/>
  <c r="M95" i="18"/>
  <c r="H92" i="19"/>
  <c r="M92" i="18"/>
  <c r="H89" i="19"/>
  <c r="M171" i="18"/>
  <c r="M48" i="18"/>
  <c r="O154" i="10"/>
  <c r="K152" i="18" s="1" a="1"/>
  <c r="K152" i="18" s="1"/>
  <c r="H149" i="23" s="1"/>
  <c r="I149" i="23" s="1"/>
  <c r="O153" i="10"/>
  <c r="K151" i="18" s="1" a="1"/>
  <c r="K151" i="18" s="1"/>
  <c r="O45" i="10"/>
  <c r="K44" i="18" s="1" a="1"/>
  <c r="K44" i="18" s="1"/>
  <c r="O46" i="10"/>
  <c r="K45" i="18" s="1" a="1"/>
  <c r="K45" i="18" s="1"/>
  <c r="O47" i="10"/>
  <c r="K46" i="18" s="1" a="1"/>
  <c r="K46" i="18" s="1"/>
  <c r="O48" i="10"/>
  <c r="K47" i="18" s="1" a="1"/>
  <c r="K47" i="18" s="1"/>
  <c r="X11" i="10"/>
  <c r="X10" i="10"/>
  <c r="I89" i="22" l="1"/>
  <c r="I89" i="23"/>
  <c r="H41" i="22"/>
  <c r="H41" i="23"/>
  <c r="H44" i="22"/>
  <c r="H40" i="22" s="1"/>
  <c r="H44" i="23"/>
  <c r="H148" i="22"/>
  <c r="I148" i="22" s="1"/>
  <c r="H148" i="23"/>
  <c r="I148" i="23" s="1"/>
  <c r="H42" i="22"/>
  <c r="H42" i="23"/>
  <c r="H43" i="22"/>
  <c r="H43" i="23"/>
  <c r="I92" i="22"/>
  <c r="I92" i="23"/>
  <c r="I45" i="22"/>
  <c r="I45" i="23"/>
  <c r="J153" i="22"/>
  <c r="F153" i="22" s="1"/>
  <c r="H149" i="22"/>
  <c r="I149" i="22" s="1"/>
  <c r="M152" i="18"/>
  <c r="H149" i="19"/>
  <c r="I149" i="19" s="1"/>
  <c r="J153" i="19"/>
  <c r="I89" i="19"/>
  <c r="I92" i="19"/>
  <c r="I45" i="19"/>
  <c r="H44" i="19"/>
  <c r="I150" i="19"/>
  <c r="M93" i="18"/>
  <c r="H90" i="19"/>
  <c r="M94" i="18"/>
  <c r="H91" i="19"/>
  <c r="M44" i="18"/>
  <c r="I41" i="23" s="1"/>
  <c r="H41" i="19"/>
  <c r="M89" i="18"/>
  <c r="H86" i="19"/>
  <c r="M88" i="18"/>
  <c r="H85" i="19"/>
  <c r="M46" i="18"/>
  <c r="H43" i="19"/>
  <c r="M87" i="18"/>
  <c r="H84" i="19"/>
  <c r="M45" i="18"/>
  <c r="H42" i="19"/>
  <c r="W11" i="10"/>
  <c r="H10" i="19"/>
  <c r="W10" i="10"/>
  <c r="H9" i="19"/>
  <c r="K24" i="10"/>
  <c r="K25" i="10"/>
  <c r="K26" i="10"/>
  <c r="M12" i="18"/>
  <c r="M13" i="18"/>
  <c r="J10" i="10"/>
  <c r="M47" i="18"/>
  <c r="J25" i="10"/>
  <c r="H23" i="22"/>
  <c r="J26" i="10"/>
  <c r="J24" i="10"/>
  <c r="J147" i="23" l="1"/>
  <c r="F147" i="23" s="1"/>
  <c r="M147" i="23" s="1"/>
  <c r="K146" i="23"/>
  <c r="M146" i="23" s="1"/>
  <c r="I84" i="22"/>
  <c r="I84" i="23"/>
  <c r="I91" i="22"/>
  <c r="I91" i="23"/>
  <c r="H40" i="23"/>
  <c r="I43" i="22"/>
  <c r="I43" i="23"/>
  <c r="I85" i="22"/>
  <c r="I85" i="23"/>
  <c r="J147" i="22"/>
  <c r="M147" i="22" s="1"/>
  <c r="I44" i="22"/>
  <c r="I44" i="23"/>
  <c r="I40" i="23" s="1"/>
  <c r="J39" i="23" s="1"/>
  <c r="I90" i="22"/>
  <c r="J88" i="22" s="1"/>
  <c r="I90" i="23"/>
  <c r="J88" i="23" s="1"/>
  <c r="I42" i="22"/>
  <c r="I42" i="23"/>
  <c r="I86" i="22"/>
  <c r="J82" i="22" s="1"/>
  <c r="I86" i="23"/>
  <c r="I11" i="22"/>
  <c r="I11" i="23"/>
  <c r="I12" i="22"/>
  <c r="I12" i="23"/>
  <c r="M153" i="22"/>
  <c r="K146" i="22"/>
  <c r="I41" i="22"/>
  <c r="I41" i="19"/>
  <c r="F153" i="19"/>
  <c r="M153" i="19"/>
  <c r="I44" i="19"/>
  <c r="I91" i="19"/>
  <c r="I85" i="19"/>
  <c r="I90" i="19"/>
  <c r="I84" i="19"/>
  <c r="I43" i="19"/>
  <c r="I12" i="19"/>
  <c r="I11" i="19"/>
  <c r="I42" i="19"/>
  <c r="I86" i="19"/>
  <c r="M151" i="18"/>
  <c r="H148" i="19"/>
  <c r="I148" i="19" s="1"/>
  <c r="J147" i="19" s="1"/>
  <c r="H40" i="19"/>
  <c r="M10" i="18"/>
  <c r="I9" i="23" s="1"/>
  <c r="O24" i="10"/>
  <c r="K24" i="18" s="1" a="1"/>
  <c r="K24" i="18" s="1"/>
  <c r="H14" i="23" s="1"/>
  <c r="I10" i="22"/>
  <c r="M60" i="18"/>
  <c r="O25" i="10"/>
  <c r="K25" i="18" s="1" a="1"/>
  <c r="K25" i="18" s="1"/>
  <c r="H15" i="23" s="1"/>
  <c r="O26" i="10"/>
  <c r="K26" i="18" s="1" a="1"/>
  <c r="K26" i="18" s="1"/>
  <c r="H16" i="23" s="1"/>
  <c r="F88" i="23" l="1"/>
  <c r="M88" i="23"/>
  <c r="F39" i="23"/>
  <c r="M39" i="23"/>
  <c r="J82" i="23"/>
  <c r="F147" i="22"/>
  <c r="I40" i="22"/>
  <c r="J39" i="22" s="1"/>
  <c r="F39" i="22" s="1"/>
  <c r="J7" i="23"/>
  <c r="I59" i="22"/>
  <c r="J57" i="22" s="1"/>
  <c r="F57" i="22" s="1"/>
  <c r="I59" i="23"/>
  <c r="H16" i="22"/>
  <c r="H16" i="19"/>
  <c r="H15" i="22"/>
  <c r="H15" i="19"/>
  <c r="H14" i="22"/>
  <c r="H14" i="19"/>
  <c r="F146" i="22"/>
  <c r="M146" i="22"/>
  <c r="I9" i="22"/>
  <c r="J7" i="22" s="1"/>
  <c r="M82" i="22"/>
  <c r="F147" i="19"/>
  <c r="M147" i="19" s="1"/>
  <c r="M39" i="22"/>
  <c r="F88" i="22"/>
  <c r="M88" i="22"/>
  <c r="F82" i="22"/>
  <c r="K81" i="22"/>
  <c r="K146" i="19"/>
  <c r="J88" i="19"/>
  <c r="I40" i="19"/>
  <c r="J82" i="19"/>
  <c r="I59" i="19"/>
  <c r="I9" i="19"/>
  <c r="M25" i="18"/>
  <c r="I15" i="23" s="1"/>
  <c r="M24" i="18"/>
  <c r="I14" i="23" s="1"/>
  <c r="M17" i="18"/>
  <c r="I23" i="23" s="1"/>
  <c r="M20" i="18"/>
  <c r="I26" i="23" s="1"/>
  <c r="M21" i="18"/>
  <c r="I27" i="23" s="1"/>
  <c r="G15" i="9"/>
  <c r="G14" i="9"/>
  <c r="F82" i="23" l="1"/>
  <c r="K81" i="23"/>
  <c r="M82" i="23"/>
  <c r="J22" i="23"/>
  <c r="I58" i="22"/>
  <c r="K56" i="22" s="1"/>
  <c r="M56" i="22" s="1"/>
  <c r="M57" i="22"/>
  <c r="F7" i="23"/>
  <c r="M7" i="23"/>
  <c r="J57" i="23"/>
  <c r="I58" i="23"/>
  <c r="I14" i="22"/>
  <c r="I14" i="19"/>
  <c r="I15" i="19"/>
  <c r="I15" i="22"/>
  <c r="M7" i="22"/>
  <c r="M146" i="19"/>
  <c r="M82" i="19"/>
  <c r="I27" i="22"/>
  <c r="I27" i="19"/>
  <c r="I26" i="22"/>
  <c r="I26" i="19"/>
  <c r="I23" i="22"/>
  <c r="I23" i="19"/>
  <c r="J7" i="19"/>
  <c r="I58" i="19"/>
  <c r="K56" i="19" s="1"/>
  <c r="J57" i="19"/>
  <c r="F88" i="19"/>
  <c r="M88" i="19"/>
  <c r="F80" i="22"/>
  <c r="M80" i="22" s="1"/>
  <c r="M81" i="22"/>
  <c r="J39" i="19"/>
  <c r="F82" i="19"/>
  <c r="K81" i="19"/>
  <c r="F81" i="22"/>
  <c r="F7" i="22"/>
  <c r="M49" i="19"/>
  <c r="M26" i="18"/>
  <c r="I16" i="23" s="1"/>
  <c r="J13" i="23" s="1"/>
  <c r="B6" i="9"/>
  <c r="B5" i="9"/>
  <c r="F13" i="23" l="1"/>
  <c r="M13" i="23"/>
  <c r="F22" i="23"/>
  <c r="M22" i="23"/>
  <c r="K6" i="23"/>
  <c r="F80" i="23"/>
  <c r="M80" i="23" s="1"/>
  <c r="M81" i="23"/>
  <c r="F81" i="23"/>
  <c r="F56" i="22"/>
  <c r="F57" i="23"/>
  <c r="M57" i="23"/>
  <c r="K56" i="23"/>
  <c r="I245" i="23"/>
  <c r="I244" i="23"/>
  <c r="F6" i="23"/>
  <c r="M6" i="23" s="1"/>
  <c r="B6" i="23"/>
  <c r="J244" i="23"/>
  <c r="M250" i="18"/>
  <c r="I246" i="23" s="1"/>
  <c r="I16" i="22"/>
  <c r="J13" i="22" s="1"/>
  <c r="I16" i="19"/>
  <c r="J13" i="19" s="1"/>
  <c r="M13" i="19" s="1"/>
  <c r="J22" i="19"/>
  <c r="M22" i="19" s="1"/>
  <c r="J22" i="22"/>
  <c r="M56" i="19"/>
  <c r="M57" i="19"/>
  <c r="F57" i="19"/>
  <c r="F39" i="19"/>
  <c r="M39" i="19"/>
  <c r="F80" i="19"/>
  <c r="M80" i="19" s="1"/>
  <c r="M81" i="19"/>
  <c r="F56" i="19"/>
  <c r="F7" i="19"/>
  <c r="M7" i="19"/>
  <c r="F81" i="19"/>
  <c r="J29" i="19"/>
  <c r="E37" i="9"/>
  <c r="E33" i="9"/>
  <c r="G33" i="9"/>
  <c r="K33" i="9" s="1"/>
  <c r="C32" i="9" s="1"/>
  <c r="B48" i="23" l="1"/>
  <c r="B56" i="23" s="1"/>
  <c r="B7" i="23"/>
  <c r="B22" i="23" s="1"/>
  <c r="B39" i="23" s="1"/>
  <c r="M56" i="23"/>
  <c r="F56" i="23"/>
  <c r="K241" i="23"/>
  <c r="M241" i="23" s="1"/>
  <c r="N148" i="18"/>
  <c r="Q148" i="18" s="1"/>
  <c r="T148" i="18" s="1"/>
  <c r="X148" i="18" s="1"/>
  <c r="N188" i="18"/>
  <c r="Q188" i="18" s="1"/>
  <c r="N187" i="18"/>
  <c r="Q187" i="18" s="1"/>
  <c r="N245" i="18"/>
  <c r="Q245" i="18" s="1"/>
  <c r="T245" i="18" s="1"/>
  <c r="X245" i="18" s="1"/>
  <c r="N246" i="18"/>
  <c r="Q246" i="18" s="1"/>
  <c r="N243" i="18"/>
  <c r="Q243" i="18" s="1"/>
  <c r="T243" i="18" s="1"/>
  <c r="X243" i="18" s="1"/>
  <c r="N244" i="18"/>
  <c r="Q244" i="18" s="1"/>
  <c r="N50" i="18"/>
  <c r="Q50" i="18" s="1"/>
  <c r="P50" i="18" s="1"/>
  <c r="S50" i="18" s="1"/>
  <c r="W50" i="18" s="1"/>
  <c r="N242" i="18"/>
  <c r="Q242" i="18" s="1"/>
  <c r="T242" i="18" s="1"/>
  <c r="X242" i="18" s="1"/>
  <c r="N34" i="18"/>
  <c r="Q34" i="18" s="1"/>
  <c r="P34" i="18" s="1"/>
  <c r="S34" i="18" s="1"/>
  <c r="W34" i="18" s="1"/>
  <c r="N39" i="18"/>
  <c r="Q39" i="18" s="1"/>
  <c r="P39" i="18" s="1"/>
  <c r="S39" i="18" s="1"/>
  <c r="W39" i="18" s="1"/>
  <c r="N38" i="18"/>
  <c r="Q38" i="18" s="1"/>
  <c r="T38" i="18" s="1"/>
  <c r="X38" i="18" s="1"/>
  <c r="F13" i="22"/>
  <c r="M13" i="22"/>
  <c r="N36" i="18"/>
  <c r="Q36" i="18" s="1"/>
  <c r="P36" i="18" s="1"/>
  <c r="S36" i="18" s="1"/>
  <c r="W36" i="18" s="1"/>
  <c r="N37" i="18"/>
  <c r="Q37" i="18" s="1"/>
  <c r="P37" i="18" s="1"/>
  <c r="S37" i="18" s="1"/>
  <c r="W37" i="18" s="1"/>
  <c r="N240" i="18"/>
  <c r="Q240" i="18" s="1"/>
  <c r="P240" i="18" s="1"/>
  <c r="S240" i="18" s="1"/>
  <c r="W240" i="18" s="1"/>
  <c r="N40" i="18"/>
  <c r="Q40" i="18" s="1"/>
  <c r="P40" i="18" s="1"/>
  <c r="S40" i="18" s="1"/>
  <c r="W40" i="18" s="1"/>
  <c r="N241" i="18"/>
  <c r="Q241" i="18" s="1"/>
  <c r="P241" i="18" s="1"/>
  <c r="S241" i="18" s="1"/>
  <c r="W241" i="18" s="1"/>
  <c r="N215" i="18"/>
  <c r="Q215" i="18" s="1"/>
  <c r="T215" i="18" s="1"/>
  <c r="X215" i="18" s="1"/>
  <c r="N35" i="18"/>
  <c r="Q35" i="18" s="1"/>
  <c r="T35" i="18" s="1"/>
  <c r="X35" i="18" s="1"/>
  <c r="N216" i="18"/>
  <c r="Q216" i="18" s="1"/>
  <c r="T216" i="18" s="1"/>
  <c r="X216" i="18" s="1"/>
  <c r="F29" i="19"/>
  <c r="M29" i="19"/>
  <c r="I244" i="22"/>
  <c r="I245" i="22"/>
  <c r="K6" i="19"/>
  <c r="M22" i="22"/>
  <c r="K6" i="22"/>
  <c r="B6" i="22" s="1"/>
  <c r="F13" i="19"/>
  <c r="N55" i="18"/>
  <c r="Q55" i="18" s="1"/>
  <c r="N54" i="18"/>
  <c r="Q54" i="18" s="1"/>
  <c r="N30" i="18"/>
  <c r="Q30" i="18" s="1"/>
  <c r="N29" i="18"/>
  <c r="Q29" i="18" s="1"/>
  <c r="N28" i="18"/>
  <c r="Q28" i="18" s="1"/>
  <c r="N27" i="18"/>
  <c r="Q27" i="18" s="1"/>
  <c r="N11" i="18"/>
  <c r="Q11" i="18" s="1"/>
  <c r="P11" i="18" s="1"/>
  <c r="S11" i="18" s="1"/>
  <c r="W11" i="18" s="1"/>
  <c r="F22" i="22"/>
  <c r="J244" i="22"/>
  <c r="N157" i="18"/>
  <c r="Q157" i="18" s="1"/>
  <c r="N159" i="18"/>
  <c r="Q159" i="18" s="1"/>
  <c r="N158" i="18"/>
  <c r="Q158" i="18" s="1"/>
  <c r="N160" i="18"/>
  <c r="Q160" i="18" s="1"/>
  <c r="N166" i="18"/>
  <c r="Q166" i="18" s="1"/>
  <c r="N165" i="18"/>
  <c r="Q165" i="18" s="1"/>
  <c r="N178" i="18"/>
  <c r="Q178" i="18" s="1"/>
  <c r="T178" i="18" s="1"/>
  <c r="X178" i="18" s="1"/>
  <c r="N179" i="18"/>
  <c r="Q179" i="18" s="1"/>
  <c r="N163" i="18"/>
  <c r="Q163" i="18" s="1"/>
  <c r="N164" i="18"/>
  <c r="Q164" i="18" s="1"/>
  <c r="N115" i="18"/>
  <c r="Q115" i="18" s="1"/>
  <c r="N114" i="18"/>
  <c r="Q114" i="18" s="1"/>
  <c r="N122" i="18"/>
  <c r="Q122" i="18" s="1"/>
  <c r="N116" i="18"/>
  <c r="Q116" i="18" s="1"/>
  <c r="N117" i="18"/>
  <c r="Q117" i="18" s="1"/>
  <c r="N120" i="18"/>
  <c r="Q120" i="18" s="1"/>
  <c r="N123" i="18"/>
  <c r="Q123" i="18" s="1"/>
  <c r="N118" i="18"/>
  <c r="Q118" i="18" s="1"/>
  <c r="N121" i="18"/>
  <c r="Q121" i="18" s="1"/>
  <c r="N126" i="18"/>
  <c r="Q126" i="18" s="1"/>
  <c r="T126" i="18" s="1"/>
  <c r="N108" i="18"/>
  <c r="Q108" i="18" s="1"/>
  <c r="N103" i="18"/>
  <c r="Q103" i="18" s="1"/>
  <c r="N101" i="18"/>
  <c r="Q101" i="18" s="1"/>
  <c r="N109" i="18"/>
  <c r="Q109" i="18" s="1"/>
  <c r="N100" i="18"/>
  <c r="Q100" i="18" s="1"/>
  <c r="N102" i="18"/>
  <c r="Q102" i="18" s="1"/>
  <c r="N104" i="18"/>
  <c r="Q104" i="18" s="1"/>
  <c r="N107" i="18"/>
  <c r="Q107" i="18" s="1"/>
  <c r="N106" i="18"/>
  <c r="Q106" i="18" s="1"/>
  <c r="I246" i="22"/>
  <c r="K251" i="18"/>
  <c r="N227" i="18"/>
  <c r="Q227" i="18" s="1"/>
  <c r="N230" i="18"/>
  <c r="Q230" i="18" s="1"/>
  <c r="N229" i="18"/>
  <c r="Q229" i="18" s="1"/>
  <c r="N228" i="18"/>
  <c r="Q228" i="18" s="1"/>
  <c r="N90" i="18"/>
  <c r="Q90" i="18" s="1"/>
  <c r="N143" i="18"/>
  <c r="Q143" i="18" s="1"/>
  <c r="N136" i="18"/>
  <c r="Q136" i="18" s="1"/>
  <c r="N142" i="18"/>
  <c r="Q142" i="18" s="1"/>
  <c r="N141" i="18"/>
  <c r="Q141" i="18" s="1"/>
  <c r="N146" i="18"/>
  <c r="Q146" i="18" s="1"/>
  <c r="N138" i="18"/>
  <c r="Q138" i="18" s="1"/>
  <c r="N145" i="18"/>
  <c r="Q145" i="18" s="1"/>
  <c r="N204" i="18"/>
  <c r="Q204" i="18" s="1"/>
  <c r="N140" i="18"/>
  <c r="Q140" i="18" s="1"/>
  <c r="N127" i="18"/>
  <c r="Q127" i="18" s="1"/>
  <c r="N133" i="18"/>
  <c r="Q133" i="18" s="1"/>
  <c r="N202" i="18"/>
  <c r="Q202" i="18" s="1"/>
  <c r="N153" i="18"/>
  <c r="Q153" i="18" s="1"/>
  <c r="N135" i="18"/>
  <c r="Q135" i="18" s="1"/>
  <c r="N144" i="18"/>
  <c r="Q144" i="18" s="1"/>
  <c r="N137" i="18"/>
  <c r="Q137" i="18" s="1"/>
  <c r="N139" i="18"/>
  <c r="Q139" i="18" s="1"/>
  <c r="N170" i="18"/>
  <c r="Q170" i="18" s="1"/>
  <c r="N209" i="18"/>
  <c r="Q209" i="18" s="1"/>
  <c r="N198" i="18"/>
  <c r="Q198" i="18" s="1"/>
  <c r="N213" i="18"/>
  <c r="Q213" i="18" s="1"/>
  <c r="N220" i="18"/>
  <c r="Q220" i="18" s="1"/>
  <c r="N239" i="18"/>
  <c r="Q239" i="18" s="1"/>
  <c r="N49" i="18"/>
  <c r="Q49" i="18" s="1"/>
  <c r="N169" i="18"/>
  <c r="Q169" i="18" s="1"/>
  <c r="N217" i="18"/>
  <c r="Q217" i="18" s="1"/>
  <c r="N214" i="18"/>
  <c r="Q214" i="18" s="1"/>
  <c r="N219" i="18"/>
  <c r="Q219" i="18" s="1"/>
  <c r="N208" i="18"/>
  <c r="Q208" i="18" s="1"/>
  <c r="N221" i="18"/>
  <c r="Q221" i="18" s="1"/>
  <c r="N236" i="18"/>
  <c r="Q236" i="18" s="1"/>
  <c r="N235" i="18"/>
  <c r="Q235" i="18" s="1"/>
  <c r="N201" i="18"/>
  <c r="Q201" i="18" s="1"/>
  <c r="N205" i="18"/>
  <c r="Q205" i="18" s="1"/>
  <c r="N207" i="18"/>
  <c r="Q207" i="18" s="1"/>
  <c r="N226" i="18"/>
  <c r="Q226" i="18" s="1"/>
  <c r="N218" i="18"/>
  <c r="Q218" i="18" s="1"/>
  <c r="N199" i="18"/>
  <c r="Q199" i="18" s="1"/>
  <c r="N231" i="18"/>
  <c r="Q231" i="18" s="1"/>
  <c r="N225" i="18"/>
  <c r="Q225" i="18" s="1"/>
  <c r="N81" i="18"/>
  <c r="Q81" i="18" s="1"/>
  <c r="N147" i="18"/>
  <c r="Q147" i="18" s="1"/>
  <c r="N9" i="18"/>
  <c r="N134" i="18"/>
  <c r="Q134" i="18" s="1"/>
  <c r="N131" i="18"/>
  <c r="Q131" i="18" s="1"/>
  <c r="N128" i="18"/>
  <c r="Q128" i="18" s="1"/>
  <c r="N129" i="18"/>
  <c r="Q129" i="18" s="1"/>
  <c r="N132" i="18"/>
  <c r="Q132" i="18" s="1"/>
  <c r="N130" i="18"/>
  <c r="Q130" i="18" s="1"/>
  <c r="N175" i="18"/>
  <c r="Q175" i="18" s="1"/>
  <c r="N174" i="18"/>
  <c r="Q174" i="18" s="1"/>
  <c r="N180" i="18"/>
  <c r="Q180" i="18" s="1"/>
  <c r="N19" i="18"/>
  <c r="Q19" i="18" s="1"/>
  <c r="N69" i="18"/>
  <c r="Q69" i="18" s="1"/>
  <c r="N193" i="18"/>
  <c r="Q193" i="18" s="1"/>
  <c r="N183" i="18"/>
  <c r="Q183" i="18" s="1"/>
  <c r="N76" i="18"/>
  <c r="Q76" i="18" s="1"/>
  <c r="N182" i="18"/>
  <c r="Q182" i="18" s="1"/>
  <c r="N194" i="18"/>
  <c r="Q194" i="18" s="1"/>
  <c r="N75" i="18"/>
  <c r="Q75" i="18" s="1"/>
  <c r="N77" i="18"/>
  <c r="Q77" i="18" s="1"/>
  <c r="N71" i="18"/>
  <c r="Q71" i="18" s="1"/>
  <c r="N185" i="18"/>
  <c r="Q185" i="18" s="1"/>
  <c r="N176" i="18"/>
  <c r="Q176" i="18" s="1"/>
  <c r="N63" i="18"/>
  <c r="Q63" i="18" s="1"/>
  <c r="N70" i="18"/>
  <c r="Q70" i="18" s="1"/>
  <c r="N177" i="18"/>
  <c r="Q177" i="18" s="1"/>
  <c r="N184" i="18"/>
  <c r="Q184" i="18" s="1"/>
  <c r="N64" i="18"/>
  <c r="Q64" i="18" s="1"/>
  <c r="N192" i="18"/>
  <c r="Q192" i="18" s="1"/>
  <c r="N18" i="18"/>
  <c r="Q18" i="18" s="1"/>
  <c r="P18" i="18" s="1"/>
  <c r="N86" i="18"/>
  <c r="Q86" i="18" s="1"/>
  <c r="N181" i="18"/>
  <c r="Q181" i="18" s="1"/>
  <c r="N66" i="18"/>
  <c r="Q66" i="18" s="1"/>
  <c r="N65" i="18"/>
  <c r="Q65" i="18" s="1"/>
  <c r="N68" i="18"/>
  <c r="Q68" i="18" s="1"/>
  <c r="N62" i="18"/>
  <c r="Q62" i="18" s="1"/>
  <c r="N72" i="18"/>
  <c r="Q72" i="18" s="1"/>
  <c r="N61" i="18"/>
  <c r="Q61" i="18" s="1"/>
  <c r="N73" i="18"/>
  <c r="Q73" i="18" s="1"/>
  <c r="N74" i="18"/>
  <c r="Q74" i="18" s="1"/>
  <c r="N67" i="18"/>
  <c r="Q67" i="18" s="1"/>
  <c r="N154" i="18"/>
  <c r="Q154" i="18" s="1"/>
  <c r="N152" i="18"/>
  <c r="Q152" i="18" s="1"/>
  <c r="N92" i="18"/>
  <c r="Q92" i="18" s="1"/>
  <c r="N171" i="18"/>
  <c r="Q171" i="18" s="1"/>
  <c r="N95" i="18"/>
  <c r="Q95" i="18" s="1"/>
  <c r="N48" i="18"/>
  <c r="Q48" i="18" s="1"/>
  <c r="N93" i="18"/>
  <c r="Q93" i="18" s="1"/>
  <c r="N12" i="18"/>
  <c r="Q12" i="18" s="1"/>
  <c r="P12" i="18" s="1"/>
  <c r="N47" i="18"/>
  <c r="Q47" i="18" s="1"/>
  <c r="N87" i="18"/>
  <c r="Q87" i="18" s="1"/>
  <c r="P87" i="18" s="1"/>
  <c r="N45" i="18"/>
  <c r="Q45" i="18" s="1"/>
  <c r="N94" i="18"/>
  <c r="Q94" i="18" s="1"/>
  <c r="N44" i="18"/>
  <c r="Q44" i="18" s="1"/>
  <c r="N46" i="18"/>
  <c r="Q46" i="18" s="1"/>
  <c r="N89" i="18"/>
  <c r="Q89" i="18" s="1"/>
  <c r="N88" i="18"/>
  <c r="Q88" i="18" s="1"/>
  <c r="N13" i="18"/>
  <c r="Q13" i="18" s="1"/>
  <c r="P13" i="18" s="1"/>
  <c r="N60" i="18"/>
  <c r="Q60" i="18" s="1"/>
  <c r="N151" i="18"/>
  <c r="Q151" i="18" s="1"/>
  <c r="N10" i="18"/>
  <c r="Q10" i="18" s="1"/>
  <c r="P10" i="18" s="1"/>
  <c r="N17" i="18"/>
  <c r="Q17" i="18" s="1"/>
  <c r="N24" i="18"/>
  <c r="Q24" i="18" s="1"/>
  <c r="N20" i="18"/>
  <c r="Q20" i="18" s="1"/>
  <c r="N21" i="18"/>
  <c r="Q21" i="18" s="1"/>
  <c r="N25" i="18"/>
  <c r="Q25" i="18" s="1"/>
  <c r="N26" i="18"/>
  <c r="Q26" i="18" s="1"/>
  <c r="I246" i="19"/>
  <c r="I26" i="9"/>
  <c r="B81" i="23" l="1"/>
  <c r="B57" i="23"/>
  <c r="B77" i="23" s="1"/>
  <c r="P148" i="18"/>
  <c r="S148" i="18" s="1"/>
  <c r="W148" i="18" s="1"/>
  <c r="P187" i="18"/>
  <c r="S187" i="18" s="1"/>
  <c r="W187" i="18" s="1"/>
  <c r="T187" i="18"/>
  <c r="X187" i="18" s="1"/>
  <c r="P188" i="18"/>
  <c r="S188" i="18" s="1"/>
  <c r="W188" i="18" s="1"/>
  <c r="T188" i="18"/>
  <c r="X188" i="18" s="1"/>
  <c r="P243" i="18"/>
  <c r="S243" i="18" s="1"/>
  <c r="W243" i="18" s="1"/>
  <c r="P245" i="18"/>
  <c r="S245" i="18" s="1"/>
  <c r="W245" i="18" s="1"/>
  <c r="T34" i="18"/>
  <c r="X34" i="18" s="1"/>
  <c r="T246" i="18"/>
  <c r="X246" i="18" s="1"/>
  <c r="P246" i="18"/>
  <c r="S246" i="18" s="1"/>
  <c r="W246" i="18" s="1"/>
  <c r="T50" i="18"/>
  <c r="X50" i="18" s="1"/>
  <c r="T244" i="18"/>
  <c r="X244" i="18" s="1"/>
  <c r="P244" i="18"/>
  <c r="S244" i="18" s="1"/>
  <c r="W244" i="18" s="1"/>
  <c r="T39" i="18"/>
  <c r="X39" i="18" s="1"/>
  <c r="P242" i="18"/>
  <c r="S242" i="18" s="1"/>
  <c r="W242" i="18" s="1"/>
  <c r="P38" i="18"/>
  <c r="S38" i="18" s="1"/>
  <c r="W38" i="18" s="1"/>
  <c r="T241" i="18"/>
  <c r="X241" i="18" s="1"/>
  <c r="P35" i="18"/>
  <c r="S35" i="18" s="1"/>
  <c r="W35" i="18" s="1"/>
  <c r="P216" i="18"/>
  <c r="S216" i="18" s="1"/>
  <c r="W216" i="18" s="1"/>
  <c r="T40" i="18"/>
  <c r="X40" i="18" s="1"/>
  <c r="T36" i="18"/>
  <c r="X36" i="18" s="1"/>
  <c r="P215" i="18"/>
  <c r="S215" i="18" s="1"/>
  <c r="W215" i="18" s="1"/>
  <c r="T240" i="18"/>
  <c r="X240" i="18" s="1"/>
  <c r="T37" i="18"/>
  <c r="X37" i="18" s="1"/>
  <c r="P239" i="18"/>
  <c r="S239" i="18" s="1"/>
  <c r="W239" i="18" s="1"/>
  <c r="T239" i="18"/>
  <c r="X239" i="18" s="1"/>
  <c r="B7" i="22"/>
  <c r="B22" i="22" s="1"/>
  <c r="B39" i="22" s="1"/>
  <c r="B48" i="22"/>
  <c r="B56" i="22" s="1"/>
  <c r="F6" i="22"/>
  <c r="P54" i="18"/>
  <c r="S54" i="18" s="1"/>
  <c r="W54" i="18" s="1"/>
  <c r="T54" i="18"/>
  <c r="X54" i="18" s="1"/>
  <c r="T55" i="18"/>
  <c r="X55" i="18" s="1"/>
  <c r="P55" i="18"/>
  <c r="S55" i="18" s="1"/>
  <c r="W55" i="18" s="1"/>
  <c r="P27" i="18"/>
  <c r="S27" i="18" s="1"/>
  <c r="W27" i="18" s="1"/>
  <c r="T27" i="18"/>
  <c r="X27" i="18" s="1"/>
  <c r="P28" i="18"/>
  <c r="S28" i="18" s="1"/>
  <c r="W28" i="18" s="1"/>
  <c r="T28" i="18"/>
  <c r="X28" i="18" s="1"/>
  <c r="P29" i="18"/>
  <c r="S29" i="18" s="1"/>
  <c r="W29" i="18" s="1"/>
  <c r="T29" i="18"/>
  <c r="X29" i="18" s="1"/>
  <c r="P30" i="18"/>
  <c r="S30" i="18" s="1"/>
  <c r="W30" i="18" s="1"/>
  <c r="T30" i="18"/>
  <c r="X30" i="18" s="1"/>
  <c r="T11" i="18"/>
  <c r="X11" i="18" s="1"/>
  <c r="K241" i="22"/>
  <c r="M241" i="22" s="1"/>
  <c r="M6" i="22"/>
  <c r="J244" i="19"/>
  <c r="P160" i="18"/>
  <c r="S160" i="18" s="1"/>
  <c r="W160" i="18" s="1"/>
  <c r="T160" i="18"/>
  <c r="X160" i="18" s="1"/>
  <c r="T158" i="18"/>
  <c r="X158" i="18" s="1"/>
  <c r="P158" i="18"/>
  <c r="S158" i="18" s="1"/>
  <c r="W158" i="18" s="1"/>
  <c r="P159" i="18"/>
  <c r="S159" i="18" s="1"/>
  <c r="W159" i="18" s="1"/>
  <c r="T159" i="18"/>
  <c r="X159" i="18" s="1"/>
  <c r="T157" i="18"/>
  <c r="X157" i="18" s="1"/>
  <c r="P157" i="18"/>
  <c r="S157" i="18" s="1"/>
  <c r="W157" i="18" s="1"/>
  <c r="T165" i="18"/>
  <c r="X165" i="18" s="1"/>
  <c r="P165" i="18"/>
  <c r="S165" i="18" s="1"/>
  <c r="W165" i="18" s="1"/>
  <c r="T166" i="18"/>
  <c r="X166" i="18" s="1"/>
  <c r="P166" i="18"/>
  <c r="S166" i="18" s="1"/>
  <c r="W166" i="18" s="1"/>
  <c r="P178" i="18"/>
  <c r="S178" i="18" s="1"/>
  <c r="W178" i="18" s="1"/>
  <c r="T179" i="18"/>
  <c r="X179" i="18" s="1"/>
  <c r="P179" i="18"/>
  <c r="S179" i="18" s="1"/>
  <c r="W179" i="18" s="1"/>
  <c r="T164" i="18"/>
  <c r="X164" i="18" s="1"/>
  <c r="P164" i="18"/>
  <c r="S164" i="18" s="1"/>
  <c r="W164" i="18" s="1"/>
  <c r="T163" i="18"/>
  <c r="X163" i="18" s="1"/>
  <c r="P163" i="18"/>
  <c r="S163" i="18" s="1"/>
  <c r="W163" i="18" s="1"/>
  <c r="T118" i="18"/>
  <c r="X118" i="18" s="1"/>
  <c r="P118" i="18"/>
  <c r="S118" i="18" s="1"/>
  <c r="W118" i="18" s="1"/>
  <c r="T120" i="18"/>
  <c r="X120" i="18" s="1"/>
  <c r="P120" i="18"/>
  <c r="S120" i="18" s="1"/>
  <c r="W120" i="18" s="1"/>
  <c r="T123" i="18"/>
  <c r="X123" i="18" s="1"/>
  <c r="P123" i="18"/>
  <c r="S123" i="18" s="1"/>
  <c r="W123" i="18" s="1"/>
  <c r="P117" i="18"/>
  <c r="S117" i="18" s="1"/>
  <c r="W117" i="18" s="1"/>
  <c r="T117" i="18"/>
  <c r="X117" i="18" s="1"/>
  <c r="T116" i="18"/>
  <c r="X116" i="18" s="1"/>
  <c r="P116" i="18"/>
  <c r="S116" i="18" s="1"/>
  <c r="W116" i="18" s="1"/>
  <c r="T122" i="18"/>
  <c r="X122" i="18" s="1"/>
  <c r="P122" i="18"/>
  <c r="S122" i="18" s="1"/>
  <c r="W122" i="18" s="1"/>
  <c r="P114" i="18"/>
  <c r="S114" i="18" s="1"/>
  <c r="W114" i="18" s="1"/>
  <c r="T114" i="18"/>
  <c r="X114" i="18" s="1"/>
  <c r="T121" i="18"/>
  <c r="X121" i="18" s="1"/>
  <c r="P121" i="18"/>
  <c r="S121" i="18" s="1"/>
  <c r="W121" i="18" s="1"/>
  <c r="T115" i="18"/>
  <c r="X115" i="18" s="1"/>
  <c r="P115" i="18"/>
  <c r="S115" i="18" s="1"/>
  <c r="W115" i="18" s="1"/>
  <c r="P126" i="18"/>
  <c r="S126" i="18" s="1"/>
  <c r="W126" i="18" s="1"/>
  <c r="P104" i="18"/>
  <c r="S104" i="18" s="1"/>
  <c r="W104" i="18" s="1"/>
  <c r="T104" i="18"/>
  <c r="X104" i="18" s="1"/>
  <c r="T102" i="18"/>
  <c r="X102" i="18" s="1"/>
  <c r="P102" i="18"/>
  <c r="S102" i="18" s="1"/>
  <c r="W102" i="18" s="1"/>
  <c r="P100" i="18"/>
  <c r="S100" i="18" s="1"/>
  <c r="W100" i="18" s="1"/>
  <c r="T100" i="18"/>
  <c r="X100" i="18" s="1"/>
  <c r="T109" i="18"/>
  <c r="X109" i="18" s="1"/>
  <c r="P109" i="18"/>
  <c r="S109" i="18" s="1"/>
  <c r="W109" i="18" s="1"/>
  <c r="T101" i="18"/>
  <c r="X101" i="18" s="1"/>
  <c r="P101" i="18"/>
  <c r="S101" i="18" s="1"/>
  <c r="W101" i="18" s="1"/>
  <c r="P103" i="18"/>
  <c r="S103" i="18" s="1"/>
  <c r="W103" i="18" s="1"/>
  <c r="T103" i="18"/>
  <c r="X103" i="18" s="1"/>
  <c r="T106" i="18"/>
  <c r="X106" i="18" s="1"/>
  <c r="P106" i="18"/>
  <c r="S106" i="18" s="1"/>
  <c r="W106" i="18" s="1"/>
  <c r="T108" i="18"/>
  <c r="X108" i="18" s="1"/>
  <c r="P108" i="18"/>
  <c r="S108" i="18" s="1"/>
  <c r="W108" i="18" s="1"/>
  <c r="T107" i="18"/>
  <c r="X107" i="18" s="1"/>
  <c r="P107" i="18"/>
  <c r="S107" i="18" s="1"/>
  <c r="W107" i="18" s="1"/>
  <c r="F22" i="19"/>
  <c r="T94" i="18"/>
  <c r="X94" i="18" s="1"/>
  <c r="P94" i="18"/>
  <c r="S94" i="18" s="1"/>
  <c r="W94" i="18" s="1"/>
  <c r="T205" i="18"/>
  <c r="X205" i="18" s="1"/>
  <c r="P205" i="18"/>
  <c r="S205" i="18" s="1"/>
  <c r="W205" i="18" s="1"/>
  <c r="P20" i="18"/>
  <c r="S20" i="18" s="1"/>
  <c r="W20" i="18" s="1"/>
  <c r="T20" i="18"/>
  <c r="X20" i="18" s="1"/>
  <c r="T45" i="18"/>
  <c r="X45" i="18" s="1"/>
  <c r="P45" i="18"/>
  <c r="S45" i="18" s="1"/>
  <c r="W45" i="18" s="1"/>
  <c r="T171" i="18"/>
  <c r="X171" i="18" s="1"/>
  <c r="P171" i="18"/>
  <c r="S171" i="18" s="1"/>
  <c r="W171" i="18" s="1"/>
  <c r="T61" i="18"/>
  <c r="X61" i="18" s="1"/>
  <c r="P61" i="18"/>
  <c r="S61" i="18" s="1"/>
  <c r="W61" i="18" s="1"/>
  <c r="T18" i="18"/>
  <c r="X18" i="18" s="1"/>
  <c r="S18" i="18"/>
  <c r="W18" i="18" s="1"/>
  <c r="T176" i="18"/>
  <c r="X176" i="18" s="1"/>
  <c r="P176" i="18"/>
  <c r="S176" i="18" s="1"/>
  <c r="W176" i="18" s="1"/>
  <c r="T183" i="18"/>
  <c r="X183" i="18" s="1"/>
  <c r="P183" i="18"/>
  <c r="S183" i="18" s="1"/>
  <c r="W183" i="18" s="1"/>
  <c r="T132" i="18"/>
  <c r="X132" i="18" s="1"/>
  <c r="P132" i="18"/>
  <c r="S132" i="18" s="1"/>
  <c r="W132" i="18" s="1"/>
  <c r="T81" i="18"/>
  <c r="X81" i="18" s="1"/>
  <c r="P81" i="18"/>
  <c r="S81" i="18" s="1"/>
  <c r="W81" i="18" s="1"/>
  <c r="T201" i="18"/>
  <c r="X201" i="18" s="1"/>
  <c r="P201" i="18"/>
  <c r="S201" i="18" s="1"/>
  <c r="W201" i="18" s="1"/>
  <c r="T169" i="18"/>
  <c r="X169" i="18" s="1"/>
  <c r="P169" i="18"/>
  <c r="S169" i="18" s="1"/>
  <c r="W169" i="18" s="1"/>
  <c r="T139" i="18"/>
  <c r="X139" i="18" s="1"/>
  <c r="P139" i="18"/>
  <c r="S139" i="18" s="1"/>
  <c r="W139" i="18" s="1"/>
  <c r="T140" i="18"/>
  <c r="X140" i="18" s="1"/>
  <c r="P140" i="18"/>
  <c r="S140" i="18" s="1"/>
  <c r="W140" i="18" s="1"/>
  <c r="T143" i="18"/>
  <c r="X143" i="18" s="1"/>
  <c r="P143" i="18"/>
  <c r="S143" i="18" s="1"/>
  <c r="W143" i="18" s="1"/>
  <c r="T86" i="18"/>
  <c r="X86" i="18" s="1"/>
  <c r="P86" i="18"/>
  <c r="S86" i="18" s="1"/>
  <c r="W86" i="18" s="1"/>
  <c r="T147" i="18"/>
  <c r="X147" i="18" s="1"/>
  <c r="P147" i="18"/>
  <c r="S147" i="18" s="1"/>
  <c r="W147" i="18" s="1"/>
  <c r="T136" i="18"/>
  <c r="X136" i="18" s="1"/>
  <c r="P136" i="18"/>
  <c r="S136" i="18" s="1"/>
  <c r="W136" i="18" s="1"/>
  <c r="T24" i="18"/>
  <c r="X24" i="18" s="1"/>
  <c r="P24" i="18"/>
  <c r="S24" i="18" s="1"/>
  <c r="W24" i="18" s="1"/>
  <c r="T87" i="18"/>
  <c r="X87" i="18" s="1"/>
  <c r="S87" i="18"/>
  <c r="W87" i="18" s="1"/>
  <c r="T92" i="18"/>
  <c r="X92" i="18" s="1"/>
  <c r="P92" i="18"/>
  <c r="S92" i="18" s="1"/>
  <c r="W92" i="18" s="1"/>
  <c r="T72" i="18"/>
  <c r="X72" i="18" s="1"/>
  <c r="P72" i="18"/>
  <c r="S72" i="18" s="1"/>
  <c r="W72" i="18" s="1"/>
  <c r="T192" i="18"/>
  <c r="X192" i="18" s="1"/>
  <c r="P192" i="18"/>
  <c r="S192" i="18" s="1"/>
  <c r="W192" i="18" s="1"/>
  <c r="T185" i="18"/>
  <c r="X185" i="18" s="1"/>
  <c r="P185" i="18"/>
  <c r="S185" i="18" s="1"/>
  <c r="W185" i="18" s="1"/>
  <c r="P193" i="18"/>
  <c r="S193" i="18" s="1"/>
  <c r="W193" i="18" s="1"/>
  <c r="T193" i="18"/>
  <c r="X193" i="18" s="1"/>
  <c r="T129" i="18"/>
  <c r="X129" i="18" s="1"/>
  <c r="P129" i="18"/>
  <c r="S129" i="18" s="1"/>
  <c r="W129" i="18" s="1"/>
  <c r="T225" i="18"/>
  <c r="X225" i="18" s="1"/>
  <c r="P225" i="18"/>
  <c r="S225" i="18" s="1"/>
  <c r="W225" i="18" s="1"/>
  <c r="T235" i="18"/>
  <c r="X235" i="18" s="1"/>
  <c r="P235" i="18"/>
  <c r="S235" i="18" s="1"/>
  <c r="W235" i="18" s="1"/>
  <c r="T49" i="18"/>
  <c r="X49" i="18" s="1"/>
  <c r="P49" i="18"/>
  <c r="S49" i="18" s="1"/>
  <c r="W49" i="18" s="1"/>
  <c r="T137" i="18"/>
  <c r="X137" i="18" s="1"/>
  <c r="P137" i="18"/>
  <c r="S137" i="18" s="1"/>
  <c r="W137" i="18" s="1"/>
  <c r="T204" i="18"/>
  <c r="X204" i="18" s="1"/>
  <c r="P204" i="18"/>
  <c r="S204" i="18" s="1"/>
  <c r="W204" i="18" s="1"/>
  <c r="T90" i="18"/>
  <c r="X90" i="18" s="1"/>
  <c r="P90" i="18"/>
  <c r="S90" i="18" s="1"/>
  <c r="W90" i="18" s="1"/>
  <c r="T21" i="18"/>
  <c r="X21" i="18" s="1"/>
  <c r="P21" i="18"/>
  <c r="S21" i="18" s="1"/>
  <c r="W21" i="18" s="1"/>
  <c r="X126" i="18"/>
  <c r="T217" i="18"/>
  <c r="X217" i="18" s="1"/>
  <c r="P217" i="18"/>
  <c r="S217" i="18" s="1"/>
  <c r="W217" i="18" s="1"/>
  <c r="T17" i="18"/>
  <c r="X17" i="18" s="1"/>
  <c r="P17" i="18"/>
  <c r="S17" i="18" s="1"/>
  <c r="W17" i="18" s="1"/>
  <c r="T13" i="18"/>
  <c r="X13" i="18" s="1"/>
  <c r="S13" i="18"/>
  <c r="W13" i="18" s="1"/>
  <c r="T47" i="18"/>
  <c r="X47" i="18" s="1"/>
  <c r="P47" i="18"/>
  <c r="S47" i="18" s="1"/>
  <c r="W47" i="18" s="1"/>
  <c r="T152" i="18"/>
  <c r="X152" i="18" s="1"/>
  <c r="P152" i="18"/>
  <c r="S152" i="18" s="1"/>
  <c r="W152" i="18" s="1"/>
  <c r="T62" i="18"/>
  <c r="X62" i="18" s="1"/>
  <c r="P62" i="18"/>
  <c r="S62" i="18" s="1"/>
  <c r="W62" i="18" s="1"/>
  <c r="T64" i="18"/>
  <c r="X64" i="18" s="1"/>
  <c r="P64" i="18"/>
  <c r="S64" i="18" s="1"/>
  <c r="W64" i="18" s="1"/>
  <c r="T71" i="18"/>
  <c r="X71" i="18" s="1"/>
  <c r="P71" i="18"/>
  <c r="S71" i="18" s="1"/>
  <c r="W71" i="18" s="1"/>
  <c r="T69" i="18"/>
  <c r="X69" i="18" s="1"/>
  <c r="P69" i="18"/>
  <c r="S69" i="18" s="1"/>
  <c r="W69" i="18" s="1"/>
  <c r="T128" i="18"/>
  <c r="X128" i="18" s="1"/>
  <c r="P128" i="18"/>
  <c r="S128" i="18" s="1"/>
  <c r="W128" i="18" s="1"/>
  <c r="T231" i="18"/>
  <c r="X231" i="18" s="1"/>
  <c r="P231" i="18"/>
  <c r="S231" i="18" s="1"/>
  <c r="W231" i="18" s="1"/>
  <c r="T236" i="18"/>
  <c r="X236" i="18" s="1"/>
  <c r="P236" i="18"/>
  <c r="S236" i="18" s="1"/>
  <c r="W236" i="18" s="1"/>
  <c r="T144" i="18"/>
  <c r="X144" i="18" s="1"/>
  <c r="P144" i="18"/>
  <c r="S144" i="18" s="1"/>
  <c r="W144" i="18" s="1"/>
  <c r="T145" i="18"/>
  <c r="X145" i="18" s="1"/>
  <c r="P145" i="18"/>
  <c r="S145" i="18" s="1"/>
  <c r="W145" i="18" s="1"/>
  <c r="T228" i="18"/>
  <c r="X228" i="18" s="1"/>
  <c r="P228" i="18"/>
  <c r="S228" i="18" s="1"/>
  <c r="W228" i="18" s="1"/>
  <c r="T73" i="18"/>
  <c r="X73" i="18" s="1"/>
  <c r="P73" i="18"/>
  <c r="S73" i="18" s="1"/>
  <c r="W73" i="18" s="1"/>
  <c r="S10" i="18"/>
  <c r="W10" i="18" s="1"/>
  <c r="T10" i="18"/>
  <c r="X10" i="18" s="1"/>
  <c r="T88" i="18"/>
  <c r="X88" i="18" s="1"/>
  <c r="P88" i="18"/>
  <c r="S88" i="18" s="1"/>
  <c r="W88" i="18" s="1"/>
  <c r="S12" i="18"/>
  <c r="W12" i="18" s="1"/>
  <c r="T12" i="18"/>
  <c r="X12" i="18" s="1"/>
  <c r="T154" i="18"/>
  <c r="X154" i="18" s="1"/>
  <c r="P154" i="18"/>
  <c r="S154" i="18" s="1"/>
  <c r="W154" i="18" s="1"/>
  <c r="T68" i="18"/>
  <c r="X68" i="18" s="1"/>
  <c r="P68" i="18"/>
  <c r="S68" i="18" s="1"/>
  <c r="W68" i="18" s="1"/>
  <c r="T184" i="18"/>
  <c r="X184" i="18" s="1"/>
  <c r="P184" i="18"/>
  <c r="S184" i="18" s="1"/>
  <c r="W184" i="18" s="1"/>
  <c r="T77" i="18"/>
  <c r="X77" i="18" s="1"/>
  <c r="P77" i="18"/>
  <c r="S77" i="18" s="1"/>
  <c r="W77" i="18" s="1"/>
  <c r="T19" i="18"/>
  <c r="X19" i="18" s="1"/>
  <c r="P19" i="18"/>
  <c r="S19" i="18" s="1"/>
  <c r="W19" i="18" s="1"/>
  <c r="T131" i="18"/>
  <c r="X131" i="18" s="1"/>
  <c r="P131" i="18"/>
  <c r="S131" i="18" s="1"/>
  <c r="W131" i="18" s="1"/>
  <c r="T199" i="18"/>
  <c r="X199" i="18" s="1"/>
  <c r="P199" i="18"/>
  <c r="S199" i="18" s="1"/>
  <c r="W199" i="18" s="1"/>
  <c r="T221" i="18"/>
  <c r="X221" i="18" s="1"/>
  <c r="P221" i="18"/>
  <c r="S221" i="18" s="1"/>
  <c r="W221" i="18" s="1"/>
  <c r="T220" i="18"/>
  <c r="X220" i="18" s="1"/>
  <c r="P220" i="18"/>
  <c r="S220" i="18" s="1"/>
  <c r="W220" i="18" s="1"/>
  <c r="T135" i="18"/>
  <c r="X135" i="18" s="1"/>
  <c r="P135" i="18"/>
  <c r="S135" i="18" s="1"/>
  <c r="W135" i="18" s="1"/>
  <c r="T138" i="18"/>
  <c r="X138" i="18" s="1"/>
  <c r="P138" i="18"/>
  <c r="S138" i="18" s="1"/>
  <c r="W138" i="18" s="1"/>
  <c r="T229" i="18"/>
  <c r="X229" i="18" s="1"/>
  <c r="P229" i="18"/>
  <c r="S229" i="18" s="1"/>
  <c r="W229" i="18" s="1"/>
  <c r="T26" i="18"/>
  <c r="X26" i="18" s="1"/>
  <c r="P26" i="18"/>
  <c r="S26" i="18" s="1"/>
  <c r="W26" i="18" s="1"/>
  <c r="T151" i="18"/>
  <c r="X151" i="18" s="1"/>
  <c r="P151" i="18"/>
  <c r="S151" i="18" s="1"/>
  <c r="W151" i="18" s="1"/>
  <c r="T89" i="18"/>
  <c r="X89" i="18" s="1"/>
  <c r="P89" i="18"/>
  <c r="S89" i="18" s="1"/>
  <c r="W89" i="18" s="1"/>
  <c r="T93" i="18"/>
  <c r="X93" i="18" s="1"/>
  <c r="P93" i="18"/>
  <c r="S93" i="18" s="1"/>
  <c r="W93" i="18" s="1"/>
  <c r="T65" i="18"/>
  <c r="X65" i="18" s="1"/>
  <c r="P65" i="18"/>
  <c r="S65" i="18" s="1"/>
  <c r="W65" i="18" s="1"/>
  <c r="T177" i="18"/>
  <c r="X177" i="18" s="1"/>
  <c r="P177" i="18"/>
  <c r="S177" i="18" s="1"/>
  <c r="W177" i="18" s="1"/>
  <c r="T75" i="18"/>
  <c r="X75" i="18" s="1"/>
  <c r="P75" i="18"/>
  <c r="S75" i="18" s="1"/>
  <c r="W75" i="18" s="1"/>
  <c r="T180" i="18"/>
  <c r="X180" i="18" s="1"/>
  <c r="P180" i="18"/>
  <c r="S180" i="18" s="1"/>
  <c r="W180" i="18" s="1"/>
  <c r="T134" i="18"/>
  <c r="X134" i="18" s="1"/>
  <c r="P134" i="18"/>
  <c r="S134" i="18" s="1"/>
  <c r="W134" i="18" s="1"/>
  <c r="T218" i="18"/>
  <c r="X218" i="18" s="1"/>
  <c r="P218" i="18"/>
  <c r="S218" i="18" s="1"/>
  <c r="W218" i="18" s="1"/>
  <c r="P208" i="18"/>
  <c r="S208" i="18" s="1"/>
  <c r="W208" i="18" s="1"/>
  <c r="T208" i="18"/>
  <c r="X208" i="18" s="1"/>
  <c r="T213" i="18"/>
  <c r="X213" i="18" s="1"/>
  <c r="P213" i="18"/>
  <c r="S213" i="18" s="1"/>
  <c r="W213" i="18" s="1"/>
  <c r="P153" i="18"/>
  <c r="S153" i="18" s="1"/>
  <c r="W153" i="18" s="1"/>
  <c r="T153" i="18"/>
  <c r="X153" i="18" s="1"/>
  <c r="T146" i="18"/>
  <c r="X146" i="18" s="1"/>
  <c r="P146" i="18"/>
  <c r="S146" i="18" s="1"/>
  <c r="W146" i="18" s="1"/>
  <c r="T230" i="18"/>
  <c r="X230" i="18" s="1"/>
  <c r="P230" i="18"/>
  <c r="S230" i="18" s="1"/>
  <c r="W230" i="18" s="1"/>
  <c r="T76" i="18"/>
  <c r="X76" i="18" s="1"/>
  <c r="P76" i="18"/>
  <c r="S76" i="18" s="1"/>
  <c r="W76" i="18" s="1"/>
  <c r="T127" i="18"/>
  <c r="X127" i="18" s="1"/>
  <c r="P127" i="18"/>
  <c r="S127" i="18" s="1"/>
  <c r="W127" i="18" s="1"/>
  <c r="T60" i="18"/>
  <c r="X60" i="18" s="1"/>
  <c r="P60" i="18"/>
  <c r="S60" i="18" s="1"/>
  <c r="W60" i="18" s="1"/>
  <c r="T46" i="18"/>
  <c r="X46" i="18" s="1"/>
  <c r="P46" i="18"/>
  <c r="S46" i="18" s="1"/>
  <c r="W46" i="18" s="1"/>
  <c r="T48" i="18"/>
  <c r="X48" i="18" s="1"/>
  <c r="P48" i="18"/>
  <c r="S48" i="18" s="1"/>
  <c r="W48" i="18" s="1"/>
  <c r="T67" i="18"/>
  <c r="X67" i="18" s="1"/>
  <c r="P67" i="18"/>
  <c r="S67" i="18" s="1"/>
  <c r="W67" i="18" s="1"/>
  <c r="T66" i="18"/>
  <c r="X66" i="18" s="1"/>
  <c r="P66" i="18"/>
  <c r="S66" i="18" s="1"/>
  <c r="W66" i="18" s="1"/>
  <c r="T70" i="18"/>
  <c r="X70" i="18" s="1"/>
  <c r="P70" i="18"/>
  <c r="S70" i="18" s="1"/>
  <c r="W70" i="18" s="1"/>
  <c r="T194" i="18"/>
  <c r="X194" i="18" s="1"/>
  <c r="P194" i="18"/>
  <c r="S194" i="18" s="1"/>
  <c r="W194" i="18" s="1"/>
  <c r="T174" i="18"/>
  <c r="X174" i="18" s="1"/>
  <c r="P174" i="18"/>
  <c r="S174" i="18" s="1"/>
  <c r="W174" i="18" s="1"/>
  <c r="T226" i="18"/>
  <c r="X226" i="18" s="1"/>
  <c r="P226" i="18"/>
  <c r="S226" i="18" s="1"/>
  <c r="W226" i="18" s="1"/>
  <c r="T219" i="18"/>
  <c r="X219" i="18" s="1"/>
  <c r="P219" i="18"/>
  <c r="S219" i="18" s="1"/>
  <c r="W219" i="18" s="1"/>
  <c r="T198" i="18"/>
  <c r="X198" i="18" s="1"/>
  <c r="P198" i="18"/>
  <c r="S198" i="18" s="1"/>
  <c r="W198" i="18" s="1"/>
  <c r="P202" i="18"/>
  <c r="S202" i="18" s="1"/>
  <c r="W202" i="18" s="1"/>
  <c r="T202" i="18"/>
  <c r="X202" i="18" s="1"/>
  <c r="T141" i="18"/>
  <c r="X141" i="18" s="1"/>
  <c r="P141" i="18"/>
  <c r="S141" i="18" s="1"/>
  <c r="W141" i="18" s="1"/>
  <c r="T227" i="18"/>
  <c r="X227" i="18" s="1"/>
  <c r="P227" i="18"/>
  <c r="S227" i="18" s="1"/>
  <c r="W227" i="18" s="1"/>
  <c r="T95" i="18"/>
  <c r="X95" i="18" s="1"/>
  <c r="P95" i="18"/>
  <c r="S95" i="18" s="1"/>
  <c r="W95" i="18" s="1"/>
  <c r="T130" i="18"/>
  <c r="X130" i="18" s="1"/>
  <c r="P130" i="18"/>
  <c r="S130" i="18" s="1"/>
  <c r="W130" i="18" s="1"/>
  <c r="P170" i="18"/>
  <c r="S170" i="18" s="1"/>
  <c r="W170" i="18" s="1"/>
  <c r="T170" i="18"/>
  <c r="X170" i="18" s="1"/>
  <c r="P25" i="18"/>
  <c r="S25" i="18" s="1"/>
  <c r="W25" i="18" s="1"/>
  <c r="T25" i="18"/>
  <c r="X25" i="18" s="1"/>
  <c r="T44" i="18"/>
  <c r="X44" i="18" s="1"/>
  <c r="P44" i="18"/>
  <c r="S44" i="18" s="1"/>
  <c r="W44" i="18" s="1"/>
  <c r="T74" i="18"/>
  <c r="X74" i="18" s="1"/>
  <c r="P74" i="18"/>
  <c r="S74" i="18" s="1"/>
  <c r="W74" i="18" s="1"/>
  <c r="T181" i="18"/>
  <c r="X181" i="18" s="1"/>
  <c r="P181" i="18"/>
  <c r="S181" i="18" s="1"/>
  <c r="W181" i="18" s="1"/>
  <c r="T63" i="18"/>
  <c r="X63" i="18" s="1"/>
  <c r="P63" i="18"/>
  <c r="S63" i="18" s="1"/>
  <c r="W63" i="18" s="1"/>
  <c r="T182" i="18"/>
  <c r="X182" i="18" s="1"/>
  <c r="P182" i="18"/>
  <c r="S182" i="18" s="1"/>
  <c r="W182" i="18" s="1"/>
  <c r="T175" i="18"/>
  <c r="X175" i="18" s="1"/>
  <c r="P175" i="18"/>
  <c r="S175" i="18" s="1"/>
  <c r="W175" i="18" s="1"/>
  <c r="T207" i="18"/>
  <c r="X207" i="18" s="1"/>
  <c r="P207" i="18"/>
  <c r="S207" i="18" s="1"/>
  <c r="W207" i="18" s="1"/>
  <c r="T214" i="18"/>
  <c r="X214" i="18" s="1"/>
  <c r="P214" i="18"/>
  <c r="S214" i="18" s="1"/>
  <c r="W214" i="18" s="1"/>
  <c r="T209" i="18"/>
  <c r="X209" i="18" s="1"/>
  <c r="P209" i="18"/>
  <c r="S209" i="18" s="1"/>
  <c r="W209" i="18" s="1"/>
  <c r="T133" i="18"/>
  <c r="X133" i="18" s="1"/>
  <c r="P133" i="18"/>
  <c r="S133" i="18" s="1"/>
  <c r="W133" i="18" s="1"/>
  <c r="T142" i="18"/>
  <c r="X142" i="18" s="1"/>
  <c r="P142" i="18"/>
  <c r="S142" i="18" s="1"/>
  <c r="W142" i="18" s="1"/>
  <c r="Q9" i="18"/>
  <c r="Q250" i="18" s="1"/>
  <c r="E21" i="9"/>
  <c r="E17" i="9"/>
  <c r="B82" i="23" l="1"/>
  <c r="B88" i="23" s="1"/>
  <c r="B94" i="23"/>
  <c r="P9" i="18"/>
  <c r="S9" i="18" s="1"/>
  <c r="W9" i="18" s="1"/>
  <c r="B81" i="22"/>
  <c r="B57" i="22"/>
  <c r="B77" i="22" s="1"/>
  <c r="B6" i="19"/>
  <c r="B7" i="19" s="1"/>
  <c r="B22" i="19" s="1"/>
  <c r="B39" i="19" s="1"/>
  <c r="F6" i="19"/>
  <c r="M6" i="19" s="1"/>
  <c r="T9" i="18"/>
  <c r="T250" i="18" s="1"/>
  <c r="C21" i="9"/>
  <c r="C22" i="9" s="1"/>
  <c r="C24" i="9" s="1"/>
  <c r="G10" i="9" s="1"/>
  <c r="B107" i="23" l="1"/>
  <c r="B95" i="23"/>
  <c r="B101" i="23" s="1"/>
  <c r="B94" i="22"/>
  <c r="B82" i="22"/>
  <c r="B88" i="22" s="1"/>
  <c r="B48" i="19"/>
  <c r="B56" i="19" s="1"/>
  <c r="B81" i="19" s="1"/>
  <c r="S251" i="18"/>
  <c r="X9" i="18"/>
  <c r="X250" i="18" s="1"/>
  <c r="G17" i="9"/>
  <c r="K17" i="9" s="1"/>
  <c r="I10" i="9"/>
  <c r="B108" i="23" l="1"/>
  <c r="B114" i="23" s="1"/>
  <c r="B120" i="23"/>
  <c r="W251" i="18"/>
  <c r="B95" i="22"/>
  <c r="B101" i="22" s="1"/>
  <c r="B107" i="22"/>
  <c r="B57" i="19"/>
  <c r="B77" i="19" s="1"/>
  <c r="B94" i="19"/>
  <c r="B82" i="19"/>
  <c r="B88" i="19" s="1"/>
  <c r="I37" i="9"/>
  <c r="K37" i="9" s="1"/>
  <c r="I36" i="9"/>
  <c r="K36" i="9" s="1"/>
  <c r="I20" i="9"/>
  <c r="K20" i="9" s="1"/>
  <c r="C15" i="9" s="1"/>
  <c r="I19" i="9"/>
  <c r="K19" i="9" s="1"/>
  <c r="C16" i="9" s="1"/>
  <c r="K15" i="9"/>
  <c r="K30" i="9"/>
  <c r="K31" i="9"/>
  <c r="K14" i="9"/>
  <c r="I21" i="9"/>
  <c r="K21" i="9" s="1"/>
  <c r="C17" i="9" s="1"/>
  <c r="I35" i="9"/>
  <c r="K35" i="9" s="1"/>
  <c r="B121" i="23" l="1"/>
  <c r="B146" i="23"/>
  <c r="B108" i="22"/>
  <c r="B114" i="22" s="1"/>
  <c r="B120" i="22"/>
  <c r="B95" i="19"/>
  <c r="B101" i="19" s="1"/>
  <c r="B107" i="19"/>
  <c r="C14" i="9"/>
  <c r="C18" i="9" s="1"/>
  <c r="C33" i="9"/>
  <c r="C31" i="9"/>
  <c r="B147" i="23" l="1"/>
  <c r="B153" i="23" s="1"/>
  <c r="B159" i="23"/>
  <c r="B171" i="23" s="1"/>
  <c r="B187" i="23" s="1"/>
  <c r="B193" i="23" s="1"/>
  <c r="B208" i="23" s="1"/>
  <c r="B220" i="23" s="1"/>
  <c r="B230" i="23" s="1"/>
  <c r="B235" i="23" s="1"/>
  <c r="B146" i="22"/>
  <c r="B121" i="22"/>
  <c r="B108" i="19"/>
  <c r="B114" i="19" s="1"/>
  <c r="B120" i="19"/>
  <c r="C34" i="9"/>
  <c r="B159" i="22" l="1"/>
  <c r="B171" i="22" s="1"/>
  <c r="B187" i="22" s="1"/>
  <c r="B193" i="22" s="1"/>
  <c r="B208" i="22" s="1"/>
  <c r="B220" i="22" s="1"/>
  <c r="B230" i="22" s="1"/>
  <c r="B235" i="22" s="1"/>
  <c r="B147" i="22"/>
  <c r="B153" i="22" s="1"/>
  <c r="B121" i="19"/>
  <c r="B146" i="19"/>
  <c r="D18" i="9"/>
  <c r="B159" i="19" l="1"/>
  <c r="B171" i="19" s="1"/>
  <c r="B187" i="19" s="1"/>
  <c r="B193" i="19" s="1"/>
  <c r="B208" i="19" s="1"/>
  <c r="B220" i="19" s="1"/>
  <c r="B230" i="19" s="1"/>
  <c r="B235" i="19" s="1"/>
  <c r="B147" i="19"/>
  <c r="B153" i="19" s="1"/>
  <c r="K184" i="10"/>
  <c r="I245" i="19"/>
  <c r="I244" i="19"/>
  <c r="K241" i="19" l="1"/>
  <c r="M241" i="19" s="1"/>
  <c r="M120" i="19"/>
  <c r="F120"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Gemma Canut</author>
    <author>Enrique Quillama</author>
  </authors>
  <commentList>
    <comment ref="AF4" authorId="0" shapeId="0" xr:uid="{704D7BCC-3677-4EFE-AA5A-9C4239BE6237}">
      <text>
        <r>
          <rPr>
            <b/>
            <sz val="9"/>
            <color indexed="81"/>
            <rFont val="Tahoma"/>
            <family val="2"/>
          </rPr>
          <t>Gemma Canut:</t>
        </r>
        <r>
          <rPr>
            <sz val="9"/>
            <color indexed="81"/>
            <rFont val="Tahoma"/>
            <family val="2"/>
          </rPr>
          <t xml:space="preserve">
INCLUYE MONTAJE
</t>
        </r>
      </text>
    </comment>
    <comment ref="AK70" authorId="1" shapeId="0" xr:uid="{DB165853-EC48-469B-84EE-C0EF3916C4F3}">
      <text>
        <r>
          <rPr>
            <b/>
            <sz val="9"/>
            <color indexed="81"/>
            <rFont val="Tahoma"/>
            <family val="2"/>
          </rPr>
          <t>Enrique Quillama:</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xml:space="preserve">Xavier Garcia </author>
    <author>Carme Galiana</author>
    <author>David Ovejero</author>
  </authors>
  <commentList>
    <comment ref="I12" authorId="0" shapeId="0" xr:uid="{00000000-0006-0000-0000-000005000000}">
      <text>
        <r>
          <rPr>
            <sz val="8"/>
            <color indexed="81"/>
            <rFont val="Tahoma"/>
            <family val="2"/>
          </rPr>
          <t>( 1 panel Metálico 56-60, 2 panel Resina 60, 3 panel Resina 56)</t>
        </r>
      </text>
    </comment>
    <comment ref="I15" authorId="0" shapeId="0" xr:uid="{00000000-0006-0000-0000-000007000000}">
      <text>
        <r>
          <rPr>
            <sz val="8"/>
            <color indexed="81"/>
            <rFont val="Tahoma"/>
            <family val="2"/>
          </rPr>
          <t>(0 panel machiembrado, 1 panel con unión perfil hueso)</t>
        </r>
      </text>
    </comment>
    <comment ref="I20" authorId="0" shapeId="0" xr:uid="{00000000-0006-0000-0000-00000D000000}">
      <text>
        <r>
          <rPr>
            <sz val="8"/>
            <color indexed="81"/>
            <rFont val="Tahoma"/>
            <family val="2"/>
          </rPr>
          <t>(0 panel techo machiembrado, 1 panel de techo con perfil unión techo)</t>
        </r>
      </text>
    </comment>
    <comment ref="I32" authorId="1" shapeId="0" xr:uid="{00000000-0006-0000-0000-00000E000000}">
      <text>
        <r>
          <rPr>
            <b/>
            <sz val="9"/>
            <color indexed="81"/>
            <rFont val="Tahoma"/>
            <family val="2"/>
          </rPr>
          <t>m2 Redondeo</t>
        </r>
        <r>
          <rPr>
            <sz val="9"/>
            <color indexed="81"/>
            <rFont val="Tahoma"/>
            <family val="2"/>
          </rPr>
          <t xml:space="preserve">
</t>
        </r>
      </text>
    </comment>
    <comment ref="I43" authorId="1" shapeId="0" xr:uid="{00000000-0006-0000-0000-00000F000000}">
      <text>
        <r>
          <rPr>
            <b/>
            <sz val="9"/>
            <color indexed="81"/>
            <rFont val="Tahoma"/>
            <family val="2"/>
          </rPr>
          <t>m2 Redondeo</t>
        </r>
        <r>
          <rPr>
            <sz val="9"/>
            <color indexed="81"/>
            <rFont val="Tahoma"/>
            <family val="2"/>
          </rPr>
          <t xml:space="preserve">
</t>
        </r>
      </text>
    </comment>
    <comment ref="I81" authorId="0" shapeId="0" xr:uid="{57F1E545-22D4-404A-B734-06D63F22ADD4}">
      <text>
        <r>
          <rPr>
            <sz val="8"/>
            <color indexed="81"/>
            <rFont val="Tahoma"/>
            <family val="2"/>
          </rPr>
          <t>Remate exterior perimetral TECHO-PANEL VERTICAL</t>
        </r>
      </text>
    </comment>
    <comment ref="G118" authorId="2" shapeId="0" xr:uid="{64DFB0A6-8675-4FE3-B5E2-FCCCF52EFE98}">
      <text>
        <r>
          <rPr>
            <b/>
            <sz val="9"/>
            <color indexed="81"/>
            <rFont val="Tahoma"/>
            <family val="2"/>
          </rPr>
          <t>David Ovejero:</t>
        </r>
        <r>
          <rPr>
            <sz val="9"/>
            <color indexed="81"/>
            <rFont val="Tahoma"/>
            <family val="2"/>
          </rPr>
          <t xml:space="preserve">
VER COSTE DEPENDIENDO DESTINO EN "TARIFAS TRANSPORTE MARITIMO 2020"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Gemma Canut</author>
  </authors>
  <commentList>
    <comment ref="H50" authorId="0" shapeId="0" xr:uid="{A3DF8C47-156F-4CA8-808D-7E7561180BFE}">
      <text>
        <r>
          <rPr>
            <b/>
            <sz val="9"/>
            <color indexed="81"/>
            <rFont val="Tahoma"/>
            <family val="2"/>
          </rPr>
          <t>Gemma Canut:</t>
        </r>
        <r>
          <rPr>
            <sz val="9"/>
            <color indexed="81"/>
            <rFont val="Tahoma"/>
            <family val="2"/>
          </rPr>
          <t xml:space="preserve">
PRECIO EXCEL COSTES EP</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Gemma Canut</author>
    <author>Sergio Luque</author>
    <author>Mónica Salado</author>
  </authors>
  <commentList>
    <comment ref="G31" authorId="0" shapeId="0" xr:uid="{178A3C0B-A2DE-4F8A-B026-BFB05EC50628}">
      <text>
        <r>
          <rPr>
            <b/>
            <sz val="8"/>
            <color indexed="81"/>
            <rFont val="Tahoma"/>
            <family val="2"/>
          </rPr>
          <t>Gemma Canut:</t>
        </r>
        <r>
          <rPr>
            <sz val="8"/>
            <color indexed="81"/>
            <rFont val="Tahoma"/>
            <family val="2"/>
          </rPr>
          <t xml:space="preserve">
INDICAR Nº TOTAL MONTADORES PREVISTOS</t>
        </r>
      </text>
    </comment>
    <comment ref="E33" authorId="0" shapeId="0" xr:uid="{855184CC-C7B7-4234-85E8-BF1BDC63F197}">
      <text>
        <r>
          <rPr>
            <b/>
            <sz val="8"/>
            <color indexed="81"/>
            <rFont val="Tahoma"/>
            <family val="2"/>
          </rPr>
          <t>Gemma Canut:</t>
        </r>
        <r>
          <rPr>
            <sz val="8"/>
            <color indexed="81"/>
            <rFont val="Tahoma"/>
            <family val="2"/>
          </rPr>
          <t xml:space="preserve">
INDICAR Nº ENCARGADOS
</t>
        </r>
      </text>
    </comment>
    <comment ref="G33" authorId="0" shapeId="0" xr:uid="{6F40CFA0-39E9-4CDB-898F-54B8B61B46AA}">
      <text>
        <r>
          <rPr>
            <b/>
            <sz val="8"/>
            <color indexed="81"/>
            <rFont val="Tahoma"/>
            <family val="2"/>
          </rPr>
          <t>Gemma Canut:</t>
        </r>
        <r>
          <rPr>
            <sz val="8"/>
            <color indexed="81"/>
            <rFont val="Tahoma"/>
            <family val="2"/>
          </rPr>
          <t xml:space="preserve">
INDICAR COSTE MENSUAL</t>
        </r>
      </text>
    </comment>
    <comment ref="I33" authorId="1" shapeId="0" xr:uid="{3FA12611-B601-4853-B449-29C4143BCAF7}">
      <text>
        <r>
          <rPr>
            <b/>
            <sz val="9"/>
            <color indexed="81"/>
            <rFont val="Tahoma"/>
            <family val="2"/>
          </rPr>
          <t>Sergio Luque:</t>
        </r>
        <r>
          <rPr>
            <sz val="9"/>
            <color indexed="81"/>
            <rFont val="Tahoma"/>
            <family val="2"/>
          </rPr>
          <t xml:space="preserve">
INDICAR €/HORA SEGÚN NACIONALIDAD</t>
        </r>
      </text>
    </comment>
    <comment ref="E34" authorId="0" shapeId="0" xr:uid="{E6D9121E-E707-4336-B774-C5C7C49CF64D}">
      <text>
        <r>
          <rPr>
            <b/>
            <sz val="8"/>
            <color indexed="81"/>
            <rFont val="Tahoma"/>
            <family val="2"/>
          </rPr>
          <t>Gemma Canut:</t>
        </r>
        <r>
          <rPr>
            <sz val="8"/>
            <color indexed="81"/>
            <rFont val="Tahoma"/>
            <family val="2"/>
          </rPr>
          <t xml:space="preserve">
INDICAR Nº DE MONTADORES
</t>
        </r>
      </text>
    </comment>
    <comment ref="I34" authorId="1" shapeId="0" xr:uid="{80066B2D-E23B-4399-B962-F8F137DC6BB1}">
      <text>
        <r>
          <rPr>
            <b/>
            <sz val="9"/>
            <color indexed="81"/>
            <rFont val="Tahoma"/>
            <family val="2"/>
          </rPr>
          <t>Sergio Luque:</t>
        </r>
        <r>
          <rPr>
            <sz val="9"/>
            <color indexed="81"/>
            <rFont val="Tahoma"/>
            <family val="2"/>
          </rPr>
          <t xml:space="preserve">
INDICAR €/HORA SEGÚN NACIONALIDAD</t>
        </r>
      </text>
    </comment>
    <comment ref="E36" authorId="0" shapeId="0" xr:uid="{416DF03F-4A04-4F04-8533-7BE4C797D2B7}">
      <text>
        <r>
          <rPr>
            <b/>
            <sz val="8"/>
            <color indexed="81"/>
            <rFont val="Tahoma"/>
            <family val="2"/>
          </rPr>
          <t>Gemma Canut:</t>
        </r>
        <r>
          <rPr>
            <sz val="8"/>
            <color indexed="81"/>
            <rFont val="Tahoma"/>
            <family val="2"/>
          </rPr>
          <t xml:space="preserve">
Nº DE PERSONAS QUE VUELAN
</t>
        </r>
      </text>
    </comment>
    <comment ref="G36" authorId="0" shapeId="0" xr:uid="{B36CCD68-ACFC-4064-9DF0-90999D57AD24}">
      <text>
        <r>
          <rPr>
            <b/>
            <sz val="8"/>
            <color indexed="81"/>
            <rFont val="Tahoma"/>
            <family val="2"/>
          </rPr>
          <t>Gemma Canut:</t>
        </r>
        <r>
          <rPr>
            <sz val="8"/>
            <color indexed="81"/>
            <rFont val="Tahoma"/>
            <family val="2"/>
          </rPr>
          <t xml:space="preserve">
CADA 6 SEMANAS VAN A CASA
</t>
        </r>
      </text>
    </comment>
    <comment ref="I36" authorId="0" shapeId="0" xr:uid="{EE9A472D-F5E6-4DEE-BB07-C0F4BB0D8DE0}">
      <text>
        <r>
          <rPr>
            <b/>
            <sz val="8"/>
            <color indexed="81"/>
            <rFont val="Tahoma"/>
            <family val="2"/>
          </rPr>
          <t>Gemma Canut:</t>
        </r>
        <r>
          <rPr>
            <sz val="8"/>
            <color indexed="81"/>
            <rFont val="Tahoma"/>
            <family val="2"/>
          </rPr>
          <t xml:space="preserve">
CADA 6 SEMANAS VAN A CASA
</t>
        </r>
      </text>
    </comment>
    <comment ref="E38" authorId="0" shapeId="0" xr:uid="{A2234484-891E-4289-A03B-321CD40A4076}">
      <text>
        <r>
          <rPr>
            <b/>
            <sz val="8"/>
            <color indexed="81"/>
            <rFont val="Tahoma"/>
            <family val="2"/>
          </rPr>
          <t>Gemma Canut:</t>
        </r>
        <r>
          <rPr>
            <sz val="8"/>
            <color indexed="81"/>
            <rFont val="Tahoma"/>
            <family val="2"/>
          </rPr>
          <t xml:space="preserve">
INDICAR Nº PISOS A ALQUILAR
</t>
        </r>
      </text>
    </comment>
    <comment ref="G39" authorId="2" shapeId="0" xr:uid="{C7424433-B2FB-4CB6-9800-4D8A3723FC54}">
      <text>
        <r>
          <rPr>
            <b/>
            <sz val="9"/>
            <color indexed="81"/>
            <rFont val="Tahoma"/>
            <family val="2"/>
          </rPr>
          <t>Mónica Salado:</t>
        </r>
        <r>
          <rPr>
            <sz val="9"/>
            <color indexed="81"/>
            <rFont val="Tahoma"/>
            <family val="2"/>
          </rPr>
          <t xml:space="preserve">
D</t>
        </r>
      </text>
    </comment>
    <comment ref="E40" authorId="0" shapeId="0" xr:uid="{8E47E0D5-ADD6-4FEE-827A-B805ED65A25D}">
      <text>
        <r>
          <rPr>
            <b/>
            <sz val="8"/>
            <color indexed="81"/>
            <rFont val="Tahoma"/>
            <family val="2"/>
          </rPr>
          <t>Gemma Canut:</t>
        </r>
        <r>
          <rPr>
            <sz val="8"/>
            <color indexed="81"/>
            <rFont val="Tahoma"/>
            <family val="2"/>
          </rPr>
          <t xml:space="preserve">
INDICAR Nº COCHES A ALQUILAR
</t>
        </r>
      </text>
    </comment>
    <comment ref="E41" authorId="0" shapeId="0" xr:uid="{C45E69CF-931F-4C9A-9A49-8B1910EF12F7}">
      <text>
        <r>
          <rPr>
            <b/>
            <sz val="8"/>
            <color indexed="81"/>
            <rFont val="Tahoma"/>
            <family val="2"/>
          </rPr>
          <t>Gemma Canut:</t>
        </r>
        <r>
          <rPr>
            <sz val="8"/>
            <color indexed="81"/>
            <rFont val="Tahoma"/>
            <family val="2"/>
          </rPr>
          <t xml:space="preserve">
Nº DE PERSONAS TIENEN DIETA
</t>
        </r>
      </text>
    </comment>
    <comment ref="G49" authorId="0" shapeId="0" xr:uid="{926B766D-CBA4-4656-867A-E056F82E56A2}">
      <text>
        <r>
          <rPr>
            <b/>
            <sz val="8"/>
            <color indexed="81"/>
            <rFont val="Tahoma"/>
            <family val="2"/>
          </rPr>
          <t>Gemma Canut:</t>
        </r>
        <r>
          <rPr>
            <sz val="8"/>
            <color indexed="81"/>
            <rFont val="Tahoma"/>
            <family val="2"/>
          </rPr>
          <t xml:space="preserve">
INDICAR Nº TOTAL MONTADORES PREVISTOS</t>
        </r>
      </text>
    </comment>
    <comment ref="E51" authorId="0" shapeId="0" xr:uid="{89C3FDE1-95FC-431C-8459-821A2ACB98F3}">
      <text>
        <r>
          <rPr>
            <b/>
            <sz val="8"/>
            <color indexed="81"/>
            <rFont val="Tahoma"/>
            <family val="2"/>
          </rPr>
          <t>Gemma Canut:</t>
        </r>
        <r>
          <rPr>
            <sz val="8"/>
            <color indexed="81"/>
            <rFont val="Tahoma"/>
            <family val="2"/>
          </rPr>
          <t xml:space="preserve">
INDICAR Nº ENCARGADOS
</t>
        </r>
      </text>
    </comment>
    <comment ref="G51" authorId="0" shapeId="0" xr:uid="{7CE633DF-2E66-4132-8023-16FD43274CA0}">
      <text>
        <r>
          <rPr>
            <b/>
            <sz val="8"/>
            <color indexed="81"/>
            <rFont val="Tahoma"/>
            <family val="2"/>
          </rPr>
          <t>Gemma Canut:</t>
        </r>
        <r>
          <rPr>
            <sz val="8"/>
            <color indexed="81"/>
            <rFont val="Tahoma"/>
            <family val="2"/>
          </rPr>
          <t xml:space="preserve">
INDICAR COSTE MENSUAL</t>
        </r>
      </text>
    </comment>
    <comment ref="I51" authorId="1" shapeId="0" xr:uid="{F9009186-2F8E-4663-8895-144C2076F1BB}">
      <text>
        <r>
          <rPr>
            <b/>
            <sz val="9"/>
            <color indexed="81"/>
            <rFont val="Tahoma"/>
            <family val="2"/>
          </rPr>
          <t>Sergio Luque:</t>
        </r>
        <r>
          <rPr>
            <sz val="9"/>
            <color indexed="81"/>
            <rFont val="Tahoma"/>
            <family val="2"/>
          </rPr>
          <t xml:space="preserve">
INDICAR €/HORA SEGÚN NACIONALIDAD</t>
        </r>
      </text>
    </comment>
    <comment ref="E52" authorId="0" shapeId="0" xr:uid="{4FDF6759-7108-498C-95D8-47F08BE6EC7C}">
      <text>
        <r>
          <rPr>
            <b/>
            <sz val="8"/>
            <color indexed="81"/>
            <rFont val="Tahoma"/>
            <family val="2"/>
          </rPr>
          <t>Gemma Canut:</t>
        </r>
        <r>
          <rPr>
            <sz val="8"/>
            <color indexed="81"/>
            <rFont val="Tahoma"/>
            <family val="2"/>
          </rPr>
          <t xml:space="preserve">
INDICAR Nº DE MONTADORES
</t>
        </r>
      </text>
    </comment>
    <comment ref="I52" authorId="1" shapeId="0" xr:uid="{3D7126B7-D31D-4280-B300-B4852C3BF03D}">
      <text>
        <r>
          <rPr>
            <b/>
            <sz val="9"/>
            <color indexed="81"/>
            <rFont val="Tahoma"/>
            <family val="2"/>
          </rPr>
          <t>Sergio Luque:</t>
        </r>
        <r>
          <rPr>
            <sz val="9"/>
            <color indexed="81"/>
            <rFont val="Tahoma"/>
            <family val="2"/>
          </rPr>
          <t xml:space="preserve">
INDICAR €/HORA SEGÚN NACIONALIDAD</t>
        </r>
      </text>
    </comment>
    <comment ref="E54" authorId="0" shapeId="0" xr:uid="{C4B18E85-5F14-4805-ADDC-DEC852D441E5}">
      <text>
        <r>
          <rPr>
            <b/>
            <sz val="8"/>
            <color indexed="81"/>
            <rFont val="Tahoma"/>
            <family val="2"/>
          </rPr>
          <t>Gemma Canut:</t>
        </r>
        <r>
          <rPr>
            <sz val="8"/>
            <color indexed="81"/>
            <rFont val="Tahoma"/>
            <family val="2"/>
          </rPr>
          <t xml:space="preserve">
Nº DE PERSONAS QUE VUELAN
</t>
        </r>
      </text>
    </comment>
    <comment ref="G54" authorId="0" shapeId="0" xr:uid="{54968AB5-0434-4633-B8DE-E304AD16DEB2}">
      <text>
        <r>
          <rPr>
            <b/>
            <sz val="8"/>
            <color indexed="81"/>
            <rFont val="Tahoma"/>
            <family val="2"/>
          </rPr>
          <t>Gemma Canut:</t>
        </r>
        <r>
          <rPr>
            <sz val="8"/>
            <color indexed="81"/>
            <rFont val="Tahoma"/>
            <family val="2"/>
          </rPr>
          <t xml:space="preserve">
CADA 6 SEMANAS VAN A CASA
</t>
        </r>
      </text>
    </comment>
    <comment ref="I54" authorId="0" shapeId="0" xr:uid="{B7727921-1B00-4D11-AB6F-102512F9E988}">
      <text>
        <r>
          <rPr>
            <b/>
            <sz val="8"/>
            <color indexed="81"/>
            <rFont val="Tahoma"/>
            <family val="2"/>
          </rPr>
          <t>Gemma Canut:</t>
        </r>
        <r>
          <rPr>
            <sz val="8"/>
            <color indexed="81"/>
            <rFont val="Tahoma"/>
            <family val="2"/>
          </rPr>
          <t xml:space="preserve">
CADA 6 SEMANAS VAN A CASA
</t>
        </r>
      </text>
    </comment>
    <comment ref="E56" authorId="0" shapeId="0" xr:uid="{59E6DB5C-4AB9-4724-8187-4428130BAB9F}">
      <text>
        <r>
          <rPr>
            <b/>
            <sz val="8"/>
            <color indexed="81"/>
            <rFont val="Tahoma"/>
            <family val="2"/>
          </rPr>
          <t>Gemma Canut:</t>
        </r>
        <r>
          <rPr>
            <sz val="8"/>
            <color indexed="81"/>
            <rFont val="Tahoma"/>
            <family val="2"/>
          </rPr>
          <t xml:space="preserve">
INDICAR Nº PISOS A ALQUILAR
</t>
        </r>
      </text>
    </comment>
    <comment ref="G57" authorId="2" shapeId="0" xr:uid="{038F47CB-039F-4670-A068-58115CFA4A0A}">
      <text>
        <r>
          <rPr>
            <b/>
            <sz val="9"/>
            <color indexed="81"/>
            <rFont val="Tahoma"/>
            <family val="2"/>
          </rPr>
          <t>Mónica Salado:</t>
        </r>
        <r>
          <rPr>
            <sz val="9"/>
            <color indexed="81"/>
            <rFont val="Tahoma"/>
            <family val="2"/>
          </rPr>
          <t xml:space="preserve">
D</t>
        </r>
      </text>
    </comment>
    <comment ref="E58" authorId="0" shapeId="0" xr:uid="{52EEC0FE-6AAE-4CF2-8568-76C30AE72879}">
      <text>
        <r>
          <rPr>
            <b/>
            <sz val="8"/>
            <color indexed="81"/>
            <rFont val="Tahoma"/>
            <family val="2"/>
          </rPr>
          <t>Gemma Canut:</t>
        </r>
        <r>
          <rPr>
            <sz val="8"/>
            <color indexed="81"/>
            <rFont val="Tahoma"/>
            <family val="2"/>
          </rPr>
          <t xml:space="preserve">
INDICAR Nº COCHES A ALQUILAR
</t>
        </r>
      </text>
    </comment>
    <comment ref="E59" authorId="0" shapeId="0" xr:uid="{1852FB0A-A33F-4336-AB77-9A1EFC4B82E0}">
      <text>
        <r>
          <rPr>
            <b/>
            <sz val="8"/>
            <color indexed="81"/>
            <rFont val="Tahoma"/>
            <family val="2"/>
          </rPr>
          <t>Gemma Canut:</t>
        </r>
        <r>
          <rPr>
            <sz val="8"/>
            <color indexed="81"/>
            <rFont val="Tahoma"/>
            <family val="2"/>
          </rPr>
          <t xml:space="preserve">
Nº DE PERSONAS TIENEN DIETA
</t>
        </r>
      </text>
    </comment>
    <comment ref="I66" authorId="0" shapeId="0" xr:uid="{8DEE45B5-0AF8-41FB-BA57-78BAB253CECD}">
      <text>
        <r>
          <rPr>
            <b/>
            <sz val="8"/>
            <color indexed="81"/>
            <rFont val="Tahoma"/>
            <family val="2"/>
          </rPr>
          <t>Gemma Canut:</t>
        </r>
        <r>
          <rPr>
            <sz val="8"/>
            <color indexed="81"/>
            <rFont val="Tahoma"/>
            <family val="2"/>
          </rPr>
          <t xml:space="preserve">
INDICAR NACIONALIDAD
</t>
        </r>
      </text>
    </comment>
    <comment ref="E68" authorId="0" shapeId="0" xr:uid="{547F49C3-8ECE-4782-B50F-5157357A03B9}">
      <text>
        <r>
          <rPr>
            <b/>
            <sz val="8"/>
            <color indexed="81"/>
            <rFont val="Tahoma"/>
            <family val="2"/>
          </rPr>
          <t>Gemma Canut:</t>
        </r>
        <r>
          <rPr>
            <sz val="8"/>
            <color indexed="81"/>
            <rFont val="Tahoma"/>
            <family val="2"/>
          </rPr>
          <t xml:space="preserve">
INDICAR Nº ENCARGADOS
</t>
        </r>
      </text>
    </comment>
    <comment ref="E69" authorId="0" shapeId="0" xr:uid="{BEFCD989-C67E-4C1D-983D-6A725C081DBC}">
      <text>
        <r>
          <rPr>
            <b/>
            <sz val="8"/>
            <color indexed="81"/>
            <rFont val="Tahoma"/>
            <family val="2"/>
          </rPr>
          <t>Gemma Canut:</t>
        </r>
        <r>
          <rPr>
            <sz val="8"/>
            <color indexed="81"/>
            <rFont val="Tahoma"/>
            <family val="2"/>
          </rPr>
          <t xml:space="preserve">
INDICAR Nº DE MONTADORES
</t>
        </r>
      </text>
    </comment>
    <comment ref="E71" authorId="0" shapeId="0" xr:uid="{EAE0DE81-A017-42ED-80D8-3D883D86623C}">
      <text>
        <r>
          <rPr>
            <b/>
            <sz val="8"/>
            <color indexed="81"/>
            <rFont val="Tahoma"/>
            <family val="2"/>
          </rPr>
          <t>Gemma Canut:</t>
        </r>
        <r>
          <rPr>
            <sz val="8"/>
            <color indexed="81"/>
            <rFont val="Tahoma"/>
            <family val="2"/>
          </rPr>
          <t xml:space="preserve">
Nº DE PERSONAS QUE VUELAN
</t>
        </r>
      </text>
    </comment>
    <comment ref="E73" authorId="0" shapeId="0" xr:uid="{17FE2454-219F-4FE1-8DDD-3C17294C3711}">
      <text>
        <r>
          <rPr>
            <b/>
            <sz val="8"/>
            <color indexed="81"/>
            <rFont val="Tahoma"/>
            <family val="2"/>
          </rPr>
          <t>Gemma Canut:</t>
        </r>
        <r>
          <rPr>
            <sz val="8"/>
            <color indexed="81"/>
            <rFont val="Tahoma"/>
            <family val="2"/>
          </rPr>
          <t xml:space="preserve">
INDICAR Nº PISOS A ALQUILAR
</t>
        </r>
      </text>
    </comment>
    <comment ref="E74" authorId="0" shapeId="0" xr:uid="{2F962CB7-6945-4844-8E53-95A9BFFC0DBB}">
      <text>
        <r>
          <rPr>
            <b/>
            <sz val="8"/>
            <color indexed="81"/>
            <rFont val="Tahoma"/>
            <family val="2"/>
          </rPr>
          <t>Gemma Canut:</t>
        </r>
        <r>
          <rPr>
            <sz val="8"/>
            <color indexed="81"/>
            <rFont val="Tahoma"/>
            <family val="2"/>
          </rPr>
          <t xml:space="preserve">
INDICAR Nº COCHES A ALQUILAR
</t>
        </r>
      </text>
    </comment>
    <comment ref="E75" authorId="0" shapeId="0" xr:uid="{75E69141-AE7F-45D9-A573-AA92F4B4E1AE}">
      <text>
        <r>
          <rPr>
            <b/>
            <sz val="8"/>
            <color indexed="81"/>
            <rFont val="Tahoma"/>
            <family val="2"/>
          </rPr>
          <t>Gemma Canut:</t>
        </r>
        <r>
          <rPr>
            <sz val="8"/>
            <color indexed="81"/>
            <rFont val="Tahoma"/>
            <family val="2"/>
          </rPr>
          <t xml:space="preserve">
Nº DE PERSONAS TIENEN DIETA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Gemma Canut</author>
  </authors>
  <commentList>
    <comment ref="W172" authorId="0" shapeId="0" xr:uid="{EB7755FD-8B2E-430D-A276-A221797CFE36}">
      <text>
        <r>
          <rPr>
            <b/>
            <sz val="9"/>
            <color indexed="81"/>
            <rFont val="Tahoma"/>
            <family val="2"/>
          </rPr>
          <t>Gemma Canut:</t>
        </r>
        <r>
          <rPr>
            <sz val="9"/>
            <color indexed="81"/>
            <rFont val="Tahoma"/>
            <family val="2"/>
          </rPr>
          <t xml:space="preserve">
NO INCLUYE CUADRO)
</t>
        </r>
      </text>
    </comment>
    <comment ref="W173" authorId="0" shapeId="0" xr:uid="{1DF062CC-B1CF-402D-A346-51B2CC062C02}">
      <text>
        <r>
          <rPr>
            <b/>
            <sz val="9"/>
            <color indexed="81"/>
            <rFont val="Tahoma"/>
            <family val="2"/>
          </rPr>
          <t>Gemma Canut:</t>
        </r>
        <r>
          <rPr>
            <sz val="9"/>
            <color indexed="81"/>
            <rFont val="Tahoma"/>
            <family val="2"/>
          </rPr>
          <t xml:space="preserve">
NO INCLUYE CUADRO)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Gemma Canut</author>
  </authors>
  <commentList>
    <comment ref="W172" authorId="0" shapeId="0" xr:uid="{D8DDD67F-4A57-4599-BB59-4E5EB6649B7D}">
      <text>
        <r>
          <rPr>
            <b/>
            <sz val="9"/>
            <color indexed="81"/>
            <rFont val="Tahoma"/>
            <family val="2"/>
          </rPr>
          <t>Gemma Canut:</t>
        </r>
        <r>
          <rPr>
            <sz val="9"/>
            <color indexed="81"/>
            <rFont val="Tahoma"/>
            <family val="2"/>
          </rPr>
          <t xml:space="preserve">
NO INCLUYE CUADRO)
</t>
        </r>
      </text>
    </comment>
    <comment ref="W173" authorId="0" shapeId="0" xr:uid="{3A593E8A-6C1D-4820-A96F-19C11FFC0266}">
      <text>
        <r>
          <rPr>
            <b/>
            <sz val="9"/>
            <color indexed="81"/>
            <rFont val="Tahoma"/>
            <family val="2"/>
          </rPr>
          <t>Gemma Canut:</t>
        </r>
        <r>
          <rPr>
            <sz val="9"/>
            <color indexed="81"/>
            <rFont val="Tahoma"/>
            <family val="2"/>
          </rPr>
          <t xml:space="preserve">
NO INCLUYE CUADRO)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Gemma Canut</author>
  </authors>
  <commentList>
    <comment ref="W172" authorId="0" shapeId="0" xr:uid="{325BE912-4A00-41B1-A029-889D663D35BD}">
      <text>
        <r>
          <rPr>
            <b/>
            <sz val="9"/>
            <color indexed="81"/>
            <rFont val="Tahoma"/>
            <family val="2"/>
          </rPr>
          <t>Gemma Canut:</t>
        </r>
        <r>
          <rPr>
            <sz val="9"/>
            <color indexed="81"/>
            <rFont val="Tahoma"/>
            <family val="2"/>
          </rPr>
          <t xml:space="preserve">
NO INCLUYE CUADRO)
</t>
        </r>
      </text>
    </comment>
    <comment ref="W173" authorId="0" shapeId="0" xr:uid="{37FA8E99-1EB6-4EE2-9254-82236C7DABE8}">
      <text>
        <r>
          <rPr>
            <b/>
            <sz val="9"/>
            <color indexed="81"/>
            <rFont val="Tahoma"/>
            <family val="2"/>
          </rPr>
          <t>Gemma Canut:</t>
        </r>
        <r>
          <rPr>
            <sz val="9"/>
            <color indexed="81"/>
            <rFont val="Tahoma"/>
            <family val="2"/>
          </rPr>
          <t xml:space="preserve">
NO INCLUYE CUADRO)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Gemma Canut</author>
    <author>Sergio Luque</author>
  </authors>
  <commentList>
    <comment ref="G12" authorId="0" shapeId="0" xr:uid="{52E91483-0780-4CDA-B9B7-49E39E750F19}">
      <text>
        <r>
          <rPr>
            <b/>
            <sz val="8"/>
            <color indexed="81"/>
            <rFont val="Tahoma"/>
            <family val="2"/>
          </rPr>
          <t>Gemma Canut:</t>
        </r>
        <r>
          <rPr>
            <sz val="8"/>
            <color indexed="81"/>
            <rFont val="Tahoma"/>
            <family val="2"/>
          </rPr>
          <t xml:space="preserve">
INDICAR Nº TOTAL MONTADORES PREVISTOS</t>
        </r>
      </text>
    </comment>
    <comment ref="I12" authorId="0" shapeId="0" xr:uid="{16E0726D-79AE-422D-B6C8-446C26D9788B}">
      <text>
        <r>
          <rPr>
            <b/>
            <sz val="8"/>
            <color indexed="81"/>
            <rFont val="Tahoma"/>
            <family val="2"/>
          </rPr>
          <t>Gemma Canut:</t>
        </r>
        <r>
          <rPr>
            <sz val="8"/>
            <color indexed="81"/>
            <rFont val="Tahoma"/>
            <family val="2"/>
          </rPr>
          <t xml:space="preserve">
INDICAR NACIONALIDAD
</t>
        </r>
      </text>
    </comment>
    <comment ref="E14" authorId="0" shapeId="0" xr:uid="{CDC2EBFC-D9D7-4B8C-8D56-927F2D51ACC2}">
      <text>
        <r>
          <rPr>
            <b/>
            <sz val="8"/>
            <color indexed="81"/>
            <rFont val="Tahoma"/>
            <family val="2"/>
          </rPr>
          <t>Gemma Canut:</t>
        </r>
        <r>
          <rPr>
            <sz val="8"/>
            <color indexed="81"/>
            <rFont val="Tahoma"/>
            <family val="2"/>
          </rPr>
          <t xml:space="preserve">
INDICAR Nº ENCARGADOS
</t>
        </r>
      </text>
    </comment>
    <comment ref="G14" authorId="0" shapeId="0" xr:uid="{64189480-75C6-4AAC-BA08-53B2EC0A8F9E}">
      <text>
        <r>
          <rPr>
            <b/>
            <sz val="8"/>
            <color indexed="81"/>
            <rFont val="Tahoma"/>
            <family val="2"/>
          </rPr>
          <t>Gemma Canut:</t>
        </r>
        <r>
          <rPr>
            <sz val="8"/>
            <color indexed="81"/>
            <rFont val="Tahoma"/>
            <family val="2"/>
          </rPr>
          <t xml:space="preserve">
INDICAR COSTE MENSUAL</t>
        </r>
      </text>
    </comment>
    <comment ref="I14" authorId="1" shapeId="0" xr:uid="{DBA27191-D0B2-4A2A-B4E9-014E03CED384}">
      <text>
        <r>
          <rPr>
            <b/>
            <sz val="9"/>
            <color indexed="81"/>
            <rFont val="Tahoma"/>
            <family val="2"/>
          </rPr>
          <t>Sergio Luque:</t>
        </r>
        <r>
          <rPr>
            <sz val="9"/>
            <color indexed="81"/>
            <rFont val="Tahoma"/>
            <family val="2"/>
          </rPr>
          <t xml:space="preserve">
INDICAR €/HORA SEGÚN NACIONALIDAD</t>
        </r>
      </text>
    </comment>
    <comment ref="E15" authorId="0" shapeId="0" xr:uid="{359FD7E0-734F-4C77-8A83-419BAAC784BB}">
      <text>
        <r>
          <rPr>
            <b/>
            <sz val="8"/>
            <color indexed="81"/>
            <rFont val="Tahoma"/>
            <family val="2"/>
          </rPr>
          <t>Gemma Canut:</t>
        </r>
        <r>
          <rPr>
            <sz val="8"/>
            <color indexed="81"/>
            <rFont val="Tahoma"/>
            <family val="2"/>
          </rPr>
          <t xml:space="preserve">
INDICAR Nº DE MONTADORES
</t>
        </r>
      </text>
    </comment>
    <comment ref="I15" authorId="1" shapeId="0" xr:uid="{D52758A1-09E2-429C-9221-112878A40002}">
      <text>
        <r>
          <rPr>
            <b/>
            <sz val="9"/>
            <color indexed="81"/>
            <rFont val="Tahoma"/>
            <family val="2"/>
          </rPr>
          <t>Sergio Luque:</t>
        </r>
        <r>
          <rPr>
            <sz val="9"/>
            <color indexed="81"/>
            <rFont val="Tahoma"/>
            <family val="2"/>
          </rPr>
          <t xml:space="preserve">
INDICAR €/HORA SEGÚN NACIONALIDAD</t>
        </r>
      </text>
    </comment>
    <comment ref="E17" authorId="0" shapeId="0" xr:uid="{DAB8D36B-2FA9-48EB-A529-298945304085}">
      <text>
        <r>
          <rPr>
            <b/>
            <sz val="8"/>
            <color indexed="81"/>
            <rFont val="Tahoma"/>
            <family val="2"/>
          </rPr>
          <t>Gemma Canut:</t>
        </r>
        <r>
          <rPr>
            <sz val="8"/>
            <color indexed="81"/>
            <rFont val="Tahoma"/>
            <family val="2"/>
          </rPr>
          <t xml:space="preserve">
Nº DE PERSONAS QUE VUELAN
</t>
        </r>
      </text>
    </comment>
    <comment ref="G17" authorId="0" shapeId="0" xr:uid="{AFE85244-B8AC-41B7-831E-5B80852FEF86}">
      <text>
        <r>
          <rPr>
            <b/>
            <sz val="8"/>
            <color indexed="81"/>
            <rFont val="Tahoma"/>
            <family val="2"/>
          </rPr>
          <t>Gemma Canut:</t>
        </r>
        <r>
          <rPr>
            <sz val="8"/>
            <color indexed="81"/>
            <rFont val="Tahoma"/>
            <family val="2"/>
          </rPr>
          <t xml:space="preserve">
CADA 6 SEMANAS VAN A CASA
</t>
        </r>
      </text>
    </comment>
    <comment ref="I17" authorId="0" shapeId="0" xr:uid="{FB2F3ADA-2B97-4191-BA03-EDE975EEDFEA}">
      <text>
        <r>
          <rPr>
            <b/>
            <sz val="8"/>
            <color indexed="81"/>
            <rFont val="Tahoma"/>
            <family val="2"/>
          </rPr>
          <t>Gemma Canut:</t>
        </r>
        <r>
          <rPr>
            <sz val="8"/>
            <color indexed="81"/>
            <rFont val="Tahoma"/>
            <family val="2"/>
          </rPr>
          <t xml:space="preserve">
CADA 6 SEMANAS VAN A CASA
</t>
        </r>
      </text>
    </comment>
    <comment ref="E19" authorId="0" shapeId="0" xr:uid="{F1698E8E-439C-473F-96B3-1FCCA349427E}">
      <text>
        <r>
          <rPr>
            <b/>
            <sz val="8"/>
            <color indexed="81"/>
            <rFont val="Tahoma"/>
            <family val="2"/>
          </rPr>
          <t>Gemma Canut:</t>
        </r>
        <r>
          <rPr>
            <sz val="8"/>
            <color indexed="81"/>
            <rFont val="Tahoma"/>
            <family val="2"/>
          </rPr>
          <t xml:space="preserve">
INDICAR Nº PISOS A ALQUILAR
</t>
        </r>
      </text>
    </comment>
    <comment ref="E20" authorId="0" shapeId="0" xr:uid="{84081DF0-6FF0-40B2-A044-FECF704493C9}">
      <text>
        <r>
          <rPr>
            <b/>
            <sz val="8"/>
            <color indexed="81"/>
            <rFont val="Tahoma"/>
            <family val="2"/>
          </rPr>
          <t>Gemma Canut:</t>
        </r>
        <r>
          <rPr>
            <sz val="8"/>
            <color indexed="81"/>
            <rFont val="Tahoma"/>
            <family val="2"/>
          </rPr>
          <t xml:space="preserve">
INDICAR Nº COCHES A ALQUILAR
</t>
        </r>
      </text>
    </comment>
    <comment ref="E21" authorId="0" shapeId="0" xr:uid="{84973847-02CC-448C-AFE1-E5D28BD615BD}">
      <text>
        <r>
          <rPr>
            <b/>
            <sz val="8"/>
            <color indexed="81"/>
            <rFont val="Tahoma"/>
            <family val="2"/>
          </rPr>
          <t>Gemma Canut:</t>
        </r>
        <r>
          <rPr>
            <sz val="8"/>
            <color indexed="81"/>
            <rFont val="Tahoma"/>
            <family val="2"/>
          </rPr>
          <t xml:space="preserve">
Nº DE PERSONAS TIENEN DIETA
</t>
        </r>
      </text>
    </comment>
    <comment ref="I28" authorId="0" shapeId="0" xr:uid="{99528300-4F35-46C0-956C-9A2F05F171AC}">
      <text>
        <r>
          <rPr>
            <b/>
            <sz val="8"/>
            <color indexed="81"/>
            <rFont val="Tahoma"/>
            <family val="2"/>
          </rPr>
          <t>Gemma Canut:</t>
        </r>
        <r>
          <rPr>
            <sz val="8"/>
            <color indexed="81"/>
            <rFont val="Tahoma"/>
            <family val="2"/>
          </rPr>
          <t xml:space="preserve">
INDICAR NACIONALIDAD
</t>
        </r>
      </text>
    </comment>
    <comment ref="E30" authorId="0" shapeId="0" xr:uid="{BDD6C30D-A0EB-4C2A-92FD-FAD7009A2183}">
      <text>
        <r>
          <rPr>
            <b/>
            <sz val="8"/>
            <color indexed="81"/>
            <rFont val="Tahoma"/>
            <family val="2"/>
          </rPr>
          <t>Gemma Canut:</t>
        </r>
        <r>
          <rPr>
            <sz val="8"/>
            <color indexed="81"/>
            <rFont val="Tahoma"/>
            <family val="2"/>
          </rPr>
          <t xml:space="preserve">
INDICAR Nº ENCARGADOS
</t>
        </r>
      </text>
    </comment>
    <comment ref="E31" authorId="0" shapeId="0" xr:uid="{B7F9DBC2-B36E-434B-8A90-B0ECBCAAA9DA}">
      <text>
        <r>
          <rPr>
            <b/>
            <sz val="8"/>
            <color indexed="81"/>
            <rFont val="Tahoma"/>
            <family val="2"/>
          </rPr>
          <t>Gemma Canut:</t>
        </r>
        <r>
          <rPr>
            <sz val="8"/>
            <color indexed="81"/>
            <rFont val="Tahoma"/>
            <family val="2"/>
          </rPr>
          <t xml:space="preserve">
INDICAR Nº DE MONTADORES
</t>
        </r>
      </text>
    </comment>
    <comment ref="E33" authorId="0" shapeId="0" xr:uid="{FB3AEEF0-8042-4450-AE1B-33C08362026C}">
      <text>
        <r>
          <rPr>
            <b/>
            <sz val="8"/>
            <color indexed="81"/>
            <rFont val="Tahoma"/>
            <family val="2"/>
          </rPr>
          <t>Gemma Canut:</t>
        </r>
        <r>
          <rPr>
            <sz val="8"/>
            <color indexed="81"/>
            <rFont val="Tahoma"/>
            <family val="2"/>
          </rPr>
          <t xml:space="preserve">
Nº DE PERSONAS QUE VUELAN
</t>
        </r>
      </text>
    </comment>
    <comment ref="E35" authorId="0" shapeId="0" xr:uid="{67662180-F0F5-4F68-AAAE-3FBA29EAF61B}">
      <text>
        <r>
          <rPr>
            <b/>
            <sz val="8"/>
            <color indexed="81"/>
            <rFont val="Tahoma"/>
            <family val="2"/>
          </rPr>
          <t>Gemma Canut:</t>
        </r>
        <r>
          <rPr>
            <sz val="8"/>
            <color indexed="81"/>
            <rFont val="Tahoma"/>
            <family val="2"/>
          </rPr>
          <t xml:space="preserve">
INDICAR Nº PISOS A ALQUILAR
</t>
        </r>
      </text>
    </comment>
    <comment ref="E36" authorId="0" shapeId="0" xr:uid="{DED05F44-2B2E-4A7A-8161-D88E1F664841}">
      <text>
        <r>
          <rPr>
            <b/>
            <sz val="8"/>
            <color indexed="81"/>
            <rFont val="Tahoma"/>
            <family val="2"/>
          </rPr>
          <t>Gemma Canut:</t>
        </r>
        <r>
          <rPr>
            <sz val="8"/>
            <color indexed="81"/>
            <rFont val="Tahoma"/>
            <family val="2"/>
          </rPr>
          <t xml:space="preserve">
INDICAR Nº COCHES A ALQUILAR
</t>
        </r>
      </text>
    </comment>
    <comment ref="E37" authorId="0" shapeId="0" xr:uid="{79111F68-1938-44A4-AF4E-8949C6EF315F}">
      <text>
        <r>
          <rPr>
            <b/>
            <sz val="8"/>
            <color indexed="81"/>
            <rFont val="Tahoma"/>
            <family val="2"/>
          </rPr>
          <t>Gemma Canut:</t>
        </r>
        <r>
          <rPr>
            <sz val="8"/>
            <color indexed="81"/>
            <rFont val="Tahoma"/>
            <family val="2"/>
          </rPr>
          <t xml:space="preserve">
Nº DE PERSONAS TIENEN DIETA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<sst xmlns="http://schemas.openxmlformats.org/spreadsheetml/2006/main" count="2895" uniqueCount="1225">
  <si>
    <r>
      <t>PRODUCTO  SICH</t>
    </r>
    <r>
      <rPr>
        <b/>
        <sz val="18"/>
        <color theme="8" tint="0.39997558519241921"/>
        <rFont val="Calibri"/>
        <family val="2"/>
        <scheme val="minor"/>
      </rPr>
      <t>_ .</t>
    </r>
    <r>
      <rPr>
        <b/>
        <sz val="18"/>
        <color theme="0"/>
        <rFont val="Calibri"/>
        <family val="2"/>
        <scheme val="minor"/>
      </rPr>
      <t xml:space="preserve">  </t>
    </r>
  </si>
  <si>
    <t>COSTE</t>
  </si>
  <si>
    <t>TARIFA SICH &amp; MENA</t>
  </si>
  <si>
    <t xml:space="preserve">TARIFA IBERIA </t>
  </si>
  <si>
    <t>K</t>
  </si>
  <si>
    <t xml:space="preserve">TARIFA PARA  LATAM </t>
  </si>
  <si>
    <t>VENTAS LATAM</t>
  </si>
  <si>
    <t>CÓDIGO</t>
  </si>
  <si>
    <t>PRODUCTO</t>
  </si>
  <si>
    <t>COMENTARIO</t>
  </si>
  <si>
    <t>QT</t>
  </si>
  <si>
    <t>MARGEN</t>
  </si>
  <si>
    <t>TARIFA SICH</t>
  </si>
  <si>
    <t>MARGEN SOBRE PRECIO</t>
  </si>
  <si>
    <t>TARIFA IBERIA</t>
  </si>
  <si>
    <t>INIBSA L5</t>
  </si>
  <si>
    <t>synthon</t>
  </si>
  <si>
    <t>CINFA 17</t>
  </si>
  <si>
    <t>MARGEN SOBRE PRECIO CON DISTRIBUIDOR</t>
  </si>
  <si>
    <t>PRECIO MERCADO  CON K COMÚN</t>
  </si>
  <si>
    <t>TARIFA LATAM</t>
  </si>
  <si>
    <t>FARMACAPSULAS</t>
  </si>
  <si>
    <t>TQ</t>
  </si>
  <si>
    <t>FAREVA</t>
  </si>
  <si>
    <t>IQ FARMA</t>
  </si>
  <si>
    <t>FAPASA</t>
  </si>
  <si>
    <t>TIPO TARIFA</t>
  </si>
  <si>
    <t>CÓDIGOS ESTÁNDAR</t>
  </si>
  <si>
    <t>CÓDIGOS OPCIONALES</t>
  </si>
  <si>
    <t>SICH &amp; MENA</t>
  </si>
  <si>
    <t>PANELERÍA</t>
  </si>
  <si>
    <t>IBERIA</t>
  </si>
  <si>
    <t>LATAM</t>
  </si>
  <si>
    <t>PANELES VERTICALES</t>
  </si>
  <si>
    <t xml:space="preserve">PANELES VERTICALES - UNIÓN HUESO </t>
  </si>
  <si>
    <t>FIREPROOF</t>
  </si>
  <si>
    <t>No disponible</t>
  </si>
  <si>
    <r>
      <t>€/m</t>
    </r>
    <r>
      <rPr>
        <vertAlign val="superscript"/>
        <sz val="11"/>
        <rFont val="Calibri"/>
        <family val="2"/>
        <scheme val="minor"/>
      </rPr>
      <t>2</t>
    </r>
  </si>
  <si>
    <t>RESINA IGNIFUGA 3MM + LANA DE ROCA  e=60mm</t>
  </si>
  <si>
    <t>B s2 d0</t>
  </si>
  <si>
    <r>
      <t>€/m</t>
    </r>
    <r>
      <rPr>
        <vertAlign val="superscript"/>
        <sz val="11"/>
        <rFont val="Calibri"/>
        <family val="2"/>
        <scheme val="minor"/>
      </rPr>
      <t>2</t>
    </r>
    <r>
      <rPr>
        <sz val="11"/>
        <color theme="1"/>
        <rFont val="Calibri"/>
        <family val="2"/>
        <scheme val="minor"/>
      </rPr>
      <t/>
    </r>
  </si>
  <si>
    <t>METÁLICO 0,5+ LANA DE ROCA e=60mm</t>
  </si>
  <si>
    <t>A2 s1 d0</t>
  </si>
  <si>
    <t xml:space="preserve">  </t>
  </si>
  <si>
    <t xml:space="preserve">PANELES TECHO </t>
  </si>
  <si>
    <t>PANELES TECHO - UNION MACHIHEMBRADA</t>
  </si>
  <si>
    <t>A2 s1 d0 EI60'</t>
  </si>
  <si>
    <t>METÁLICO 0,5 + LANA DE ROCA - 100MM</t>
  </si>
  <si>
    <t>A2 s1 d0 EI120'</t>
  </si>
  <si>
    <t xml:space="preserve">METÁLICO 0,5 + PIR - 60 MM </t>
  </si>
  <si>
    <t>B s1 d0 + FM</t>
  </si>
  <si>
    <t xml:space="preserve">METÁLICO 0,5 + PIR - 80 MM </t>
  </si>
  <si>
    <t>METÁLICO - SUPLEMENTO ACABADO INOX AISI 304 (para panel metálico)</t>
  </si>
  <si>
    <r>
      <t>€/m</t>
    </r>
    <r>
      <rPr>
        <vertAlign val="superscript"/>
        <sz val="11"/>
        <rFont val="Calibri"/>
        <family val="2"/>
        <scheme val="minor"/>
      </rPr>
      <t>2</t>
    </r>
    <r>
      <rPr>
        <sz val="11"/>
        <rFont val="Calibri"/>
        <family val="2"/>
        <scheme val="minor"/>
      </rPr>
      <t xml:space="preserve"> x cara</t>
    </r>
  </si>
  <si>
    <t>METÁLICO - SUPLEMENTO ACABADO PET (para panel metálico)</t>
  </si>
  <si>
    <t>METÁLICO - SUPLEMENTO CHAPA 0,6MM (para panel metálico)</t>
  </si>
  <si>
    <t>PANELES VIDRIO</t>
  </si>
  <si>
    <t>PANELES CRISTAL</t>
  </si>
  <si>
    <t>Panel acristalado (cristal laminado 5+5) sin perfilería</t>
  </si>
  <si>
    <t>Canto Pulido</t>
  </si>
  <si>
    <t>€/ml</t>
  </si>
  <si>
    <t>Perfil marco cristal 60 blanco</t>
  </si>
  <si>
    <t>Perfil media caña L de 40</t>
  </si>
  <si>
    <t>Perfil media caña de 40</t>
  </si>
  <si>
    <t>Mampara de separación acond. Secundario h=1500mm</t>
  </si>
  <si>
    <t>€/mL</t>
  </si>
  <si>
    <t>TECHO EN RETICULA</t>
  </si>
  <si>
    <t>Techo Amstrong</t>
  </si>
  <si>
    <t>€/m2</t>
  </si>
  <si>
    <t>Techo en reticula</t>
  </si>
  <si>
    <t>PERFILERIA Y SELLADO</t>
  </si>
  <si>
    <t>PERFILERIA</t>
  </si>
  <si>
    <t>Perfil media caña (Conjunto media caña + ángula) aluminio+acero</t>
  </si>
  <si>
    <t>Perfil media caña ALUMINIO LACADA BLANCA</t>
  </si>
  <si>
    <t>Perfil media caña (ÁNGULO) ACERO</t>
  </si>
  <si>
    <t xml:space="preserve">Remate esquina interior </t>
  </si>
  <si>
    <t>€/Ud.</t>
  </si>
  <si>
    <t xml:space="preserve">Perfil cantonera exterior 60 peque </t>
  </si>
  <si>
    <t xml:space="preserve">Remate Esquinas exteriores </t>
  </si>
  <si>
    <t>Perfil unión hueso  60</t>
  </si>
  <si>
    <t>Perfil de sujeción al suelo E=60MM</t>
  </si>
  <si>
    <t>Perfil de sujeción al suelo visto lacado E=60MM</t>
  </si>
  <si>
    <t>Pletina 110ml</t>
  </si>
  <si>
    <t xml:space="preserve">Perfil de 130x130 </t>
  </si>
  <si>
    <t>Remate espada puerta</t>
  </si>
  <si>
    <t>Perfil soporte " L" para techos</t>
  </si>
  <si>
    <t>Perfil soporte "T" para techos</t>
  </si>
  <si>
    <t>Perfil Omega</t>
  </si>
  <si>
    <t>Perfil unión Omegas</t>
  </si>
  <si>
    <t xml:space="preserve">Tirante soportación techo </t>
  </si>
  <si>
    <t>Tirante soportación techo con varilla</t>
  </si>
  <si>
    <t>SELLADO</t>
  </si>
  <si>
    <t>99-0012</t>
  </si>
  <si>
    <t>SILICONA BLANCA FUNGICIDA</t>
  </si>
  <si>
    <t>PUERTAS BATIENTES HPL</t>
  </si>
  <si>
    <t xml:space="preserve"> </t>
  </si>
  <si>
    <t xml:space="preserve">PUERTAS BATIENTES SIMPLES HPL </t>
  </si>
  <si>
    <t>PUERTA SIMPLE 700x2100mm color azul SICH</t>
  </si>
  <si>
    <t>PUERTA SIMPLE 800x2100mm color azul SICH</t>
  </si>
  <si>
    <t>PUERTA SIMPLE 700x2200mm color azul SICH</t>
  </si>
  <si>
    <t>PUERTA SIMPLE  800x2200mm color azul SICH</t>
  </si>
  <si>
    <t>PUERTAS BATIENTES DOBLES HPL</t>
  </si>
  <si>
    <t>PUERTA DOBLE (800+400)x2100mm color azul SICH</t>
  </si>
  <si>
    <t>PUERTA DOBLE (1000+400)x2100mm color azul SICH</t>
  </si>
  <si>
    <t>PUERTA DOBLE (700+400)x2200mm color azul SICH</t>
  </si>
  <si>
    <t>PUERTA DOBLE (1000+400)x2200mm color azul SICH</t>
  </si>
  <si>
    <t>PUERTAS BATIENTES METALICAS</t>
  </si>
  <si>
    <t>PUERTAS BATIENTES SIMPLES METALICAS</t>
  </si>
  <si>
    <t>PUERTAS BATIENTES DOBLES METALICAS</t>
  </si>
  <si>
    <t>PUERTAS BATIENTES VIDRIO</t>
  </si>
  <si>
    <t>PUERTAS BATIENTES SIMPLES VIDRIO</t>
  </si>
  <si>
    <t>PUERTAS BATIENTES DOBLES VIDRIO</t>
  </si>
  <si>
    <t>OPCIONALES PUERTAS BATIENTES</t>
  </si>
  <si>
    <t>Guillotina Puerta Simple 800</t>
  </si>
  <si>
    <t>Guillotina Puerta Doble 800+400</t>
  </si>
  <si>
    <t>Óculo puerta batiente 40x80mm - Esquinas rectas</t>
  </si>
  <si>
    <t>Óculo puerta batiente 40x80mm - Esquinas redondeadas</t>
  </si>
  <si>
    <t>POMO NOVA</t>
  </si>
  <si>
    <t>POMO NOVA CON LLAVE</t>
  </si>
  <si>
    <t>POMO PIGGIO</t>
  </si>
  <si>
    <t>POMO PIGGIO CON CONDENA</t>
  </si>
  <si>
    <t>POMO PIGGIO CON LLAVE IGUAL</t>
  </si>
  <si>
    <t>POMO PIGGIO CON LLAVE DIFERENTE</t>
  </si>
  <si>
    <t>MANETA INOXIDABLE</t>
  </si>
  <si>
    <t>CONTROL DE ACCESO AUTOMATICO HUELLA+TARJETA</t>
  </si>
  <si>
    <t>[ASI1212D]</t>
  </si>
  <si>
    <t>CONTROL DE ACCESO AUTOMATICO HUELLA+TARJETA+WIFI</t>
  </si>
  <si>
    <t>[ACO-F22-WHITE-1]</t>
  </si>
  <si>
    <t>CONTROL DE ACCESO AUTOMATICO HUELLA+TARJETA IP65</t>
  </si>
  <si>
    <t>[ACO-MA300-2]</t>
  </si>
  <si>
    <t>BRAZO HIDRAULICO PARA CIERRE AUTOMÁTICO</t>
  </si>
  <si>
    <t>PLANCHA INOX PARA PROTECCIÓN PUERTA (h=300MM)</t>
  </si>
  <si>
    <t>PLANCHA INOX PARA PROTECCIÓN PUERTA (h=3400MM)</t>
  </si>
  <si>
    <t>PLANCHA INOX PARA PROTECCIÓN PUERTA (h=600MM)</t>
  </si>
  <si>
    <t>BARRA SALIDA DE EMERGENCIA</t>
  </si>
  <si>
    <t>SUPLEMENTO POR INSTALACIÓN EN OBRA CIVIL</t>
  </si>
  <si>
    <t>ACCESORIOS INOXIDABLE</t>
  </si>
  <si>
    <t>SUPLEMENTO CAMBIO DE DIMENSION Y/O COLOR</t>
  </si>
  <si>
    <t>SUMADO A ESTÁNDAR MAS SIMILAR</t>
  </si>
  <si>
    <t>PUERTAS ENROLLABLES AUTOMÁTICAS</t>
  </si>
  <si>
    <t>CPUAREF-150X250</t>
  </si>
  <si>
    <t>PUERTA ENROLLABLE AUTOREPARABLE DE LABORATORIO 1500X2500 + SEMÁFORO</t>
  </si>
  <si>
    <t>CPUAREF-200X250</t>
  </si>
  <si>
    <t>PUERTA ENROLLABLE AUTOREPARABLE DE LABORATORIO 2000X2500 + SEMÁFORO</t>
  </si>
  <si>
    <t>CPUAREF-200X300</t>
  </si>
  <si>
    <t>PUERTA ENROLLABLE AUTOREPARABLE DE LABORATORIO 2000X3000 + SEMÁFORO</t>
  </si>
  <si>
    <t>CPUAREF-250X300</t>
  </si>
  <si>
    <t>PUERTA ENROLLABLE AUTOREPARABLE DE LABORATORIO 2500X2600 + SEMÁFORO</t>
  </si>
  <si>
    <t>OPCIONALES PUERTAS ENROLLABLES</t>
  </si>
  <si>
    <t>ÓCULO( standard 663lx333h)</t>
  </si>
  <si>
    <t>ACTIVACIÓN POR RADAR</t>
  </si>
  <si>
    <t>SECUENCIA INTERLOCK PUERTA SAS</t>
  </si>
  <si>
    <t>SAI</t>
  </si>
  <si>
    <t>PUERTAS CORREDERAS</t>
  </si>
  <si>
    <t>PUERTA CORREDERA SIMPLE HPL</t>
  </si>
  <si>
    <t>PUERTA CORREDERA SIMPLE VIDRIO</t>
  </si>
  <si>
    <t>PUERTA CORREDERA DOBLE HPL</t>
  </si>
  <si>
    <t>PUERTA CORREDERA DOBLE VIDRIO</t>
  </si>
  <si>
    <t>OPCIONALES PUERTAS CORREDERAS</t>
  </si>
  <si>
    <t>AUTOMÁTICA</t>
  </si>
  <si>
    <t xml:space="preserve">SECUENCIA INTERLOCK </t>
  </si>
  <si>
    <t>INTERLOCKS</t>
  </si>
  <si>
    <t>SEMÁFORO</t>
  </si>
  <si>
    <t>ENCLAVAMIENTO</t>
  </si>
  <si>
    <t>ENCLAVAMIENTO + SEMAFORO</t>
  </si>
  <si>
    <t>CONTROLADORA COMPACTA PARA INTERLOCK A 2 PUERTAS</t>
  </si>
  <si>
    <t>CONTROLADORA COMPACTA PARA INTERLOCK A 3 PUERTAS</t>
  </si>
  <si>
    <t>CONTROLADORA COMPACTA PARA INTERLOCK A 4 PUERTAS</t>
  </si>
  <si>
    <r>
      <t xml:space="preserve">CUADRO DE ENCLAVAMIENTO Nº1 </t>
    </r>
    <r>
      <rPr>
        <sz val="10"/>
        <color theme="8" tint="-0.249977111117893"/>
        <rFont val="Arial"/>
        <family val="2"/>
      </rPr>
      <t>(Nº DE PUERTAS ENCLAVADAS)</t>
    </r>
  </si>
  <si>
    <r>
      <t xml:space="preserve">CUADRO DE ENCLAVAMIENTO Nº2 </t>
    </r>
    <r>
      <rPr>
        <sz val="10"/>
        <color theme="8" tint="-0.249977111117893"/>
        <rFont val="Arial"/>
        <family val="2"/>
      </rPr>
      <t>(Nº DE PUERTAS ENCLAVADAS)</t>
    </r>
  </si>
  <si>
    <r>
      <t xml:space="preserve">CUADRO DE ENCLAVAMIENTO Nº3 </t>
    </r>
    <r>
      <rPr>
        <sz val="10"/>
        <color theme="8" tint="-0.249977111117893"/>
        <rFont val="Arial"/>
        <family val="2"/>
      </rPr>
      <t>(Nº DE PUERTAS ENCLAVADAS)</t>
    </r>
  </si>
  <si>
    <r>
      <t xml:space="preserve">CUADRO DE ENCLAVAMIENTO Nº4 </t>
    </r>
    <r>
      <rPr>
        <sz val="10"/>
        <color theme="8" tint="-0.249977111117893"/>
        <rFont val="Arial"/>
        <family val="2"/>
      </rPr>
      <t>(Nº DE PUERTAS ENCLAVADAS)</t>
    </r>
  </si>
  <si>
    <r>
      <t xml:space="preserve">CUADRO DE ENCLAVAMIENTO Nº5 </t>
    </r>
    <r>
      <rPr>
        <sz val="10"/>
        <color theme="8" tint="-0.249977111117893"/>
        <rFont val="Arial"/>
        <family val="2"/>
      </rPr>
      <t>(Nº DE PUERTAS ENCLAVADAS)</t>
    </r>
  </si>
  <si>
    <r>
      <t xml:space="preserve">CUADRO DE ENCLAVAMIENTO Nº6 </t>
    </r>
    <r>
      <rPr>
        <sz val="10"/>
        <color theme="8" tint="-0.249977111117893"/>
        <rFont val="Arial"/>
        <family val="2"/>
      </rPr>
      <t>(Nº DE PUERTAS ENCLAVADAS)</t>
    </r>
  </si>
  <si>
    <t>RELLENAR EN 'METRAJE'</t>
  </si>
  <si>
    <t>VENTANAS</t>
  </si>
  <si>
    <t>VENTANA 1290x1000mm e=60mm; ESQUINAS RECTAS + SILICAGEL</t>
  </si>
  <si>
    <t>VENTANA 2580x1000mm e=60mm; ESQUINAS RECTAS + SILICAGEL</t>
  </si>
  <si>
    <t>VENTANA 900x900mm e=60mm; ESQUINAS REDONDEADAS</t>
  </si>
  <si>
    <t>PASS-BOX</t>
  </si>
  <si>
    <t>PASSBOX ESTÁTICO 500x500X500mm; PANEL-INTERIOR INOX; ENCLAVAMIENTO,ÓCULO</t>
  </si>
  <si>
    <t>PASSBOX ESTÁTICO 500x500X500mm; PANEL-INTERIOR PANEL; ENCLAVAMIENTO,ÓCULO</t>
  </si>
  <si>
    <t>PASSBOX ESTÁTICO DE RESINA 700X1000X1500; PANEL; ENCLAVAMIENTO, ÓCULO</t>
  </si>
  <si>
    <t>PASSBOX ESTÁTICO DE RESINA 1000X1000X1500; PANEL; ENCLAVAMIENTO, ÓCULO</t>
  </si>
  <si>
    <t>PASSBOX DINÁMICO RESINA 1200x1200X1500mm; CONJUNTO AUTÓNOMO (VER DESCRIPTIVA DESGLOSADA)</t>
  </si>
  <si>
    <t>PASSBOX ESTATICO INOX 600x600X600mm; CONJUNTO INOXIDABLE (VER DESCRIPTIVA DESGLOSADA)</t>
  </si>
  <si>
    <t>SUPLEMENTO LUZ ULTRAVIOLETA</t>
  </si>
  <si>
    <t>SUPLEMENTO AMBIENTE BIOLOGICO</t>
  </si>
  <si>
    <t>SUPLEMENTO CAMBIO DIMENSIONES</t>
  </si>
  <si>
    <t>LUMINARIAS</t>
  </si>
  <si>
    <t>LUMINARIA LED 4x17W CON CHAPON de 600x600mm</t>
  </si>
  <si>
    <t>LUMINARIA LED 2x17W CON CHAPON de 300x600mm</t>
  </si>
  <si>
    <t>LUMINARIA MAGNETSICH 40W4000K 625x625mm</t>
  </si>
  <si>
    <t>LUMINARIA MAGNETSICH 20W4000K 325x625mm</t>
  </si>
  <si>
    <t>KIT LUMINARIA DE EMERGENCIA</t>
  </si>
  <si>
    <t>LUMINARIA EMERGENCIA URA21LED 160lm+MARCO EMPOTRAR URA21NEW</t>
  </si>
  <si>
    <t xml:space="preserve">LUMINARIA ATEX SICCIS PITBUL-N LED 4X36W+MARCO PARA PITBUL-N 4X36W+KIT MONTAJE TECHO </t>
  </si>
  <si>
    <t xml:space="preserve">LUMINARIA ATEX SICCIS PITBUL-N LED 4X36W+KIT EMERGENCIA+MARCO PARA PITBUL-N 4X36W+KIT MONTAJE TECHO </t>
  </si>
  <si>
    <t>SLEH-PM LED PULSAR 4x17W 4000 K+SVO INACTINICA AMARILLA</t>
  </si>
  <si>
    <t>PROTECCIONES</t>
  </si>
  <si>
    <t>PARA PANELES - INOX</t>
  </si>
  <si>
    <t>PARA PANELES - PVC</t>
  </si>
  <si>
    <t>CLIP PVC</t>
  </si>
  <si>
    <t>TAPON FINAL PVC</t>
  </si>
  <si>
    <t>ANCLAJE PVC</t>
  </si>
  <si>
    <t>PARA PUERTAS - PIVOTES INOX (INOX INTERIOR+EXTERIOR)</t>
  </si>
  <si>
    <t>BANCOS</t>
  </si>
  <si>
    <t>BANCO RESINA - SIN ZAPATERO (500x500x40) despieze D.O.</t>
  </si>
  <si>
    <t>BANCO RESINA - CON ZAPATERO (500x500x40) despieze D.O.</t>
  </si>
  <si>
    <t>XXX</t>
  </si>
  <si>
    <t>CXXX</t>
  </si>
  <si>
    <t>PASAMATERIALES INOX 518X518X500</t>
  </si>
  <si>
    <t>PASAMATERIALES INOX 618X618X600</t>
  </si>
  <si>
    <t>Ud</t>
  </si>
  <si>
    <t>PASAMATERIALES INOX 718X718X850</t>
  </si>
  <si>
    <t>ml</t>
  </si>
  <si>
    <t>PASAMATERIALES INOX 618X618X850</t>
  </si>
  <si>
    <t>m²</t>
  </si>
  <si>
    <t>DESCRIPCIÓN</t>
  </si>
  <si>
    <t>COSTE APROXIMADO</t>
  </si>
  <si>
    <t>2P</t>
  </si>
  <si>
    <t>2P sin zelio</t>
  </si>
  <si>
    <t>2P especial</t>
  </si>
  <si>
    <t>3P</t>
  </si>
  <si>
    <t>4P</t>
  </si>
  <si>
    <t>4P + CONTROLSA</t>
  </si>
  <si>
    <t>5P</t>
  </si>
  <si>
    <t>6P</t>
  </si>
  <si>
    <t>6P + CONTROLSA</t>
  </si>
  <si>
    <t xml:space="preserve">7P </t>
  </si>
  <si>
    <t>8P</t>
  </si>
  <si>
    <t>9P + CONTROLSA</t>
  </si>
  <si>
    <t xml:space="preserve">10P </t>
  </si>
  <si>
    <t>11P</t>
  </si>
  <si>
    <t>12P</t>
  </si>
  <si>
    <t>13P + CONTROLSA</t>
  </si>
  <si>
    <t>13 P SÓLO MONTAJE</t>
  </si>
  <si>
    <t>15P</t>
  </si>
  <si>
    <t>16P</t>
  </si>
  <si>
    <t>19P</t>
  </si>
  <si>
    <t>22P</t>
  </si>
  <si>
    <t>30P</t>
  </si>
  <si>
    <t>34P</t>
  </si>
  <si>
    <t>36P</t>
  </si>
  <si>
    <t>PLANTILLA METRAJE CERRAMIENTOS SICH</t>
  </si>
  <si>
    <t>Casillas a Cumplimentar</t>
  </si>
  <si>
    <t>Casillas automaticas</t>
  </si>
  <si>
    <t>OFERTA Nº:</t>
  </si>
  <si>
    <t>Cliente</t>
  </si>
  <si>
    <t xml:space="preserve">Fecha:  </t>
  </si>
  <si>
    <t>Efectuada por :</t>
  </si>
  <si>
    <t>DOCUMENTO DE USO INTERNO DE STE Engipharm</t>
  </si>
  <si>
    <t>Paneles</t>
  </si>
  <si>
    <t xml:space="preserve">   Divisorios       </t>
  </si>
  <si>
    <t>Otras alturas (si no hay poner 1)</t>
  </si>
  <si>
    <t xml:space="preserve">Trasdosados    </t>
  </si>
  <si>
    <t xml:space="preserve">  Exteriores </t>
  </si>
  <si>
    <t>Altura Vidrio 5+5</t>
  </si>
  <si>
    <t>VARIABLES ALTURA H:</t>
  </si>
  <si>
    <t>PANELES+TECHO</t>
  </si>
  <si>
    <t>TIPO PANEL</t>
  </si>
  <si>
    <t>Cantidad para valoración</t>
  </si>
  <si>
    <t>CANTIDAD PANELES</t>
  </si>
  <si>
    <t>Unión</t>
  </si>
  <si>
    <t xml:space="preserve">Panel Divisorio </t>
  </si>
  <si>
    <t>m2</t>
  </si>
  <si>
    <t>Panel Otras Alturas</t>
  </si>
  <si>
    <t>Panel Trasdosado</t>
  </si>
  <si>
    <t>Panel Exterior</t>
  </si>
  <si>
    <t xml:space="preserve">Panel de techo No pisable </t>
  </si>
  <si>
    <t>Panel de techo Pisable</t>
  </si>
  <si>
    <r>
      <t xml:space="preserve">Si el panel-techo es machihembrado indicar </t>
    </r>
    <r>
      <rPr>
        <b/>
        <i/>
        <sz val="8"/>
        <color indexed="10"/>
        <rFont val="Calibri"/>
        <family val="2"/>
        <scheme val="minor"/>
      </rPr>
      <t>0</t>
    </r>
  </si>
  <si>
    <t>Metraje PANELE VERTICAL</t>
  </si>
  <si>
    <t>Cantidades</t>
  </si>
  <si>
    <t>Sala o Zona</t>
  </si>
  <si>
    <t>Superficies TECHO</t>
  </si>
  <si>
    <t>Panel divisorio interior (mL) :</t>
  </si>
  <si>
    <t>NO PISABLE</t>
  </si>
  <si>
    <t>A</t>
  </si>
  <si>
    <t>B</t>
  </si>
  <si>
    <r>
      <t xml:space="preserve">Panel Otras alturas (mL) </t>
    </r>
    <r>
      <rPr>
        <b/>
        <i/>
        <sz val="8"/>
        <rFont val="Calibri"/>
        <family val="2"/>
        <scheme val="minor"/>
      </rPr>
      <t>( si no hay poner 0 )</t>
    </r>
  </si>
  <si>
    <t>Panel Trasdosado (a pared existente) (mL) :</t>
  </si>
  <si>
    <t>Panel Exterior visto (mL) :</t>
  </si>
  <si>
    <t>Panel Vidrio 5+5 (mL) :</t>
  </si>
  <si>
    <t>Panel Separación vidriado h= 1500 mm (mL) :</t>
  </si>
  <si>
    <t>Esquinas interiores (unid.) :</t>
  </si>
  <si>
    <t>Esquinas interiores Otras Alturas (unid.) :</t>
  </si>
  <si>
    <t>Esquinas exteriores (unid.) :</t>
  </si>
  <si>
    <t>TOTAL (m2)</t>
  </si>
  <si>
    <t>Esquinas exteriores Otras Alturas (unid.) :</t>
  </si>
  <si>
    <t xml:space="preserve"> PISABLE</t>
  </si>
  <si>
    <t>Banco Psicológico en Panel (mL)</t>
  </si>
  <si>
    <t>Plenums, Columnas o Pilares (unid) :</t>
  </si>
  <si>
    <t>Ventanas ( Unidades Totales ) :</t>
  </si>
  <si>
    <t>Puertas ( Unidades Totales ) :</t>
  </si>
  <si>
    <r>
      <t xml:space="preserve">Protecciones inoxidable (mL) </t>
    </r>
    <r>
      <rPr>
        <b/>
        <sz val="10"/>
        <rFont val="Calibri"/>
        <family val="2"/>
        <scheme val="minor"/>
      </rPr>
      <t>:</t>
    </r>
  </si>
  <si>
    <t>Pivotes Inox (unid)</t>
  </si>
  <si>
    <r>
      <t xml:space="preserve">Protecciones PVC (mL) </t>
    </r>
    <r>
      <rPr>
        <b/>
        <sz val="10"/>
        <rFont val="Calibri"/>
        <family val="2"/>
        <scheme val="minor"/>
      </rPr>
      <t>:</t>
    </r>
  </si>
  <si>
    <t>Silicona Paneles -Techos (mL)</t>
  </si>
  <si>
    <t>Silicona Puertas (mL)</t>
  </si>
  <si>
    <t>Silicona  Ventanas y Oculos (mL)</t>
  </si>
  <si>
    <t>1 Tubo/20ml</t>
  </si>
  <si>
    <t>TECHO AMSTRONG</t>
  </si>
  <si>
    <t>PANELES</t>
  </si>
  <si>
    <t>mL</t>
  </si>
  <si>
    <r>
      <t>m</t>
    </r>
    <r>
      <rPr>
        <vertAlign val="superscript"/>
        <sz val="10"/>
        <rFont val="Calibri"/>
        <family val="2"/>
        <scheme val="minor"/>
      </rPr>
      <t>2</t>
    </r>
  </si>
  <si>
    <r>
      <t>m</t>
    </r>
    <r>
      <rPr>
        <vertAlign val="superscript"/>
        <sz val="10"/>
        <rFont val="Calibri"/>
        <family val="2"/>
        <scheme val="minor"/>
      </rPr>
      <t>2</t>
    </r>
    <r>
      <rPr>
        <sz val="10"/>
        <rFont val="Calibri"/>
        <family val="2"/>
        <scheme val="minor"/>
      </rPr>
      <t xml:space="preserve"> Redondeo</t>
    </r>
  </si>
  <si>
    <t>Cantidad de paneles</t>
  </si>
  <si>
    <t>Panel divisorio interior (m) :</t>
  </si>
  <si>
    <t>Panel con otra altura (m) :</t>
  </si>
  <si>
    <t>Panel Trasdosado (a pared existente) (m) :</t>
  </si>
  <si>
    <t>Panel Exterior visto (m) :</t>
  </si>
  <si>
    <r>
      <t xml:space="preserve">Formula con Paneles de </t>
    </r>
    <r>
      <rPr>
        <b/>
        <i/>
        <sz val="9"/>
        <color indexed="10"/>
        <rFont val="Calibri"/>
        <family val="2"/>
        <scheme val="minor"/>
      </rPr>
      <t>1,18 m</t>
    </r>
  </si>
  <si>
    <t>REMATES PANELES</t>
  </si>
  <si>
    <t xml:space="preserve">Remate Esquinas interiores (unid.) </t>
  </si>
  <si>
    <t xml:space="preserve">Remate Espada Puerta (unid.) </t>
  </si>
  <si>
    <t xml:space="preserve">Remate Esquinas exteriores (unid.) </t>
  </si>
  <si>
    <t>PLENUMS</t>
  </si>
  <si>
    <t>Plenums Forma "L"</t>
  </si>
  <si>
    <t>Cantidad</t>
  </si>
  <si>
    <r>
      <t xml:space="preserve">Lados </t>
    </r>
    <r>
      <rPr>
        <sz val="8"/>
        <rFont val="Calibri"/>
        <family val="2"/>
        <scheme val="minor"/>
      </rPr>
      <t>(perfiles)</t>
    </r>
  </si>
  <si>
    <t>Cantidad de Paneles</t>
  </si>
  <si>
    <t>300x600 (mm)</t>
  </si>
  <si>
    <t>"U"</t>
  </si>
  <si>
    <t>400x800 (mm)</t>
  </si>
  <si>
    <t>300x800 (mm)</t>
  </si>
  <si>
    <t>"L"</t>
  </si>
  <si>
    <t>400x1000 (mm)</t>
  </si>
  <si>
    <t>Columnas o Pilares</t>
  </si>
  <si>
    <t>400x400x400x400 (mm)</t>
  </si>
  <si>
    <t>600x600x600x600 (mm)</t>
  </si>
  <si>
    <t>TOTAL</t>
  </si>
  <si>
    <t>Total(perfiles)</t>
  </si>
  <si>
    <t>m2 Redondeo</t>
  </si>
  <si>
    <t>Paneles Redondeo</t>
  </si>
  <si>
    <t xml:space="preserve">HPL </t>
  </si>
  <si>
    <t>VIDRIO</t>
  </si>
  <si>
    <t xml:space="preserve">METALICAS </t>
  </si>
  <si>
    <t>Ventanas Enrasadas</t>
  </si>
  <si>
    <t>Puertas SIMPLES</t>
  </si>
  <si>
    <t>1280x1000</t>
  </si>
  <si>
    <t>2560x1000</t>
  </si>
  <si>
    <t>Mirillas - Oculos Puertas</t>
  </si>
  <si>
    <t>Perfileria</t>
  </si>
  <si>
    <t xml:space="preserve">Perfil de media caña + L de Soporte  (mL) </t>
  </si>
  <si>
    <t>Puertas DOBLES</t>
  </si>
  <si>
    <t>Perfil Esquina exterior codo 90º (ml)</t>
  </si>
  <si>
    <t xml:space="preserve">Perfil unión hueso (mL) </t>
  </si>
  <si>
    <t>Perfil de sujeción al suelo (mL)</t>
  </si>
  <si>
    <t xml:space="preserve">Perfil de sujeción al suelo visto (mL) </t>
  </si>
  <si>
    <t xml:space="preserve">Perfil de 130x130 (mL) </t>
  </si>
  <si>
    <t>Electricidad</t>
  </si>
  <si>
    <t>Puertas AUTOMÁTICAS ENROLLABLES</t>
  </si>
  <si>
    <t>Luminarias LED 4X17W</t>
  </si>
  <si>
    <t>Luminarias LED 2X17W</t>
  </si>
  <si>
    <t>Luminarias de emergencia</t>
  </si>
  <si>
    <t>Luminarias MAGNETSICH 40W</t>
  </si>
  <si>
    <t>Luminarias MAGNETSICH 20W</t>
  </si>
  <si>
    <t>Puertas CORREDERAS</t>
  </si>
  <si>
    <t>PUERTA CORREDERA SIMPLE</t>
  </si>
  <si>
    <t>PUERTA CORREDERA DOBLE</t>
  </si>
  <si>
    <t>Nº  TOTAL de puertas enclavadas batiente STE</t>
  </si>
  <si>
    <t>CONTROLADORA COMPACTA para interlock a 2 puertas</t>
  </si>
  <si>
    <t>CONTROLADORA COMPACTA para interlock a 3 puertas</t>
  </si>
  <si>
    <t>CONTROLADORA COMPACTA para interlock a 4 puertas</t>
  </si>
  <si>
    <t>Nº de puertas con doble semáforo</t>
  </si>
  <si>
    <t>CUADROS</t>
  </si>
  <si>
    <t xml:space="preserve">Nº de puertas </t>
  </si>
  <si>
    <t>CUADRO DE ENCLAVAMIENTO Nº1</t>
  </si>
  <si>
    <t>CUADRO DE ENCLAVAMIENTO Nº2</t>
  </si>
  <si>
    <t>CUADRO DE ENCLAVAMIENTO Nº3</t>
  </si>
  <si>
    <t>CUADRO DE ENCLAVAMIENTO Nº4</t>
  </si>
  <si>
    <t>CUADRO DE ENCLAVAMIENTO Nº5</t>
  </si>
  <si>
    <t>CUADRO DE ENCLAVAMIENTO Nº6</t>
  </si>
  <si>
    <t>NOTA: recomendado máximo 30 puertas por cuadro.</t>
  </si>
  <si>
    <t>RESUMEN DE CONTENEDORES</t>
  </si>
  <si>
    <t>Nº de Contenedor</t>
  </si>
  <si>
    <t>Superfície Total de Panel Vertical</t>
  </si>
  <si>
    <t>Nota: 1 Contenedor 40' cada 510 m2 de Panel Vertical</t>
  </si>
  <si>
    <t>Superfície Total de Panel Techo</t>
  </si>
  <si>
    <t>Nota: 1 Contenedor  40' cada 421 m2 de Panel Techo</t>
  </si>
  <si>
    <t>Nº de Puertas Simples</t>
  </si>
  <si>
    <t>Nota: 1 Contenedor 40'  cada 421 m2 de Puertas Simples</t>
  </si>
  <si>
    <t>Nº de Puertas Dobles</t>
  </si>
  <si>
    <t>Nota: 1 Contenedor  40' cada 421 m2 de Puertas Dobles</t>
  </si>
  <si>
    <t xml:space="preserve"> Nº TOTAL CONTENEDORES 40'</t>
  </si>
  <si>
    <t>REDONDEO AL ALTA</t>
  </si>
  <si>
    <t>COSTE UD</t>
  </si>
  <si>
    <t>COSTE TOTAL</t>
  </si>
  <si>
    <t>NOTA: TENER EN CUENTA OTROS ELEMENTOS COMO PUERTAS ENROLLABLES, CORREDERAS, PASS-BOX, ETC.</t>
  </si>
  <si>
    <t>MATERIALES</t>
  </si>
  <si>
    <t>MONTAJE</t>
  </si>
  <si>
    <t>MATERIALES Y MONTAJE</t>
  </si>
  <si>
    <t xml:space="preserve">PRECIO TOTAL DEL METRAJE REALIZADO </t>
  </si>
  <si>
    <t>CASILLAS VINCULADAS A "METRAJE</t>
  </si>
  <si>
    <t>CASILLAS A RELLENAR AQUÍ</t>
  </si>
  <si>
    <t>SELECCIÓN TIPO TARIFA</t>
  </si>
  <si>
    <t>FACTOR VENTA MONTAJE</t>
  </si>
  <si>
    <t>CANTIDAD</t>
  </si>
  <si>
    <t>COSTE UNT PRODUCTO €</t>
  </si>
  <si>
    <t>COSTE TOTAL PRODUCTO €</t>
  </si>
  <si>
    <t>PRECIO UNT PRODUCTO €</t>
  </si>
  <si>
    <t>PRECIO TOTAL PRODUCTO €</t>
  </si>
  <si>
    <t>unitario COSTE MONTAJE €</t>
  </si>
  <si>
    <t>TOTAL COSTE MONTAJE €</t>
  </si>
  <si>
    <t>unitario VENTA MONTAJE €</t>
  </si>
  <si>
    <t>TOTAL VENTA MONTAJE €</t>
  </si>
  <si>
    <t>Unitario VENTA MAT+MONTAJE €</t>
  </si>
  <si>
    <t>total VENTA MAT+MONTAJE €</t>
  </si>
  <si>
    <r>
      <t>m</t>
    </r>
    <r>
      <rPr>
        <vertAlign val="superscript"/>
        <sz val="10"/>
        <rFont val="Arial"/>
        <family val="2"/>
      </rPr>
      <t>2</t>
    </r>
  </si>
  <si>
    <r>
      <t>m</t>
    </r>
    <r>
      <rPr>
        <vertAlign val="superscript"/>
        <sz val="10"/>
        <rFont val="Arial"/>
        <family val="2"/>
      </rPr>
      <t>2</t>
    </r>
    <r>
      <rPr>
        <sz val="10"/>
        <rFont val="Arial"/>
        <family val="2"/>
      </rPr>
      <t xml:space="preserve"> x cara</t>
    </r>
  </si>
  <si>
    <t>SEPARACIÓN SECUNDARIOS h=1500mm</t>
  </si>
  <si>
    <t>Techo en Reticula</t>
  </si>
  <si>
    <t>PERFILERIA y SELLADO</t>
  </si>
  <si>
    <t>Ud.</t>
  </si>
  <si>
    <t>SILICONA</t>
  </si>
  <si>
    <t>PUERTAS BATIENTES SIMPLES</t>
  </si>
  <si>
    <t xml:space="preserve">PUERTA RF EI2 60 1100x2060mm </t>
  </si>
  <si>
    <t>PUERTAS BATIENTES DOBLES</t>
  </si>
  <si>
    <t>PUERTA DOBLE (700+400)x2100mm color azul SICH</t>
  </si>
  <si>
    <t>Guillotina Puerta simple</t>
  </si>
  <si>
    <t>Guillotina Puerta Doble</t>
  </si>
  <si>
    <t>Óculo puerta batiente 400x800mm - Esquinas rectas</t>
  </si>
  <si>
    <t>Óculo puerta batiente 400x800mm - Esquinas redondeadas</t>
  </si>
  <si>
    <t xml:space="preserve">POMO PIGGIO </t>
  </si>
  <si>
    <t xml:space="preserve">POMO PIGGIO CON LLAVE DIFERENTE </t>
  </si>
  <si>
    <t xml:space="preserve">POMO ELÉCTRICO </t>
  </si>
  <si>
    <t>SUPLEMENTO POR CAMBIO DE COLOR</t>
  </si>
  <si>
    <t>m2.</t>
  </si>
  <si>
    <t>ENROLLABLES</t>
  </si>
  <si>
    <t>CORREDERAS</t>
  </si>
  <si>
    <t>VENTANA 1280x1000mm e=60mm; ESQUINAS RECTAS</t>
  </si>
  <si>
    <t>VENTANA 2560x1000mm e=60mm; ESQUINAS RECTAS</t>
  </si>
  <si>
    <t>LUMINARIA LED 4x14W CON CUBRELUMINARIA de 600x600mm</t>
  </si>
  <si>
    <t>LUMINARIA LED 2x14W CON CUBRELUMINARIA de 300x600mm</t>
  </si>
  <si>
    <t>LUMINARIA DE EMERGENCIA</t>
  </si>
  <si>
    <t>LUMINARIA ATEX</t>
  </si>
  <si>
    <t>LUMINARIA INACTINICA</t>
  </si>
  <si>
    <t>BANCO RESINA - SIN ZAPATERO</t>
  </si>
  <si>
    <t>BANCO RESINA - CON ZAPATERO</t>
  </si>
  <si>
    <t>PARTIDA COMODIN</t>
  </si>
  <si>
    <t>COSTE TOTAL PRODUCTO</t>
  </si>
  <si>
    <t>PRECIO TOTAL PRODUCTO</t>
  </si>
  <si>
    <t>TOTAL COSTE MONTAJE</t>
  </si>
  <si>
    <t>TOTAL PRECIO MONTAJE</t>
  </si>
  <si>
    <t>TOTAL PRECIO MATERIAL + MONTAJE</t>
  </si>
  <si>
    <t>COSTE TOTAL TRANSPORTE</t>
  </si>
  <si>
    <t>PRECIO TOTAL TRANSPORTE</t>
  </si>
  <si>
    <t xml:space="preserve">PLANTILLA CALCULO MONTAJES </t>
  </si>
  <si>
    <t>VER: 01</t>
  </si>
  <si>
    <t>FECHA:27/02/19</t>
  </si>
  <si>
    <t>Nº PROYECTO :</t>
  </si>
  <si>
    <t>Casilla a Cumplimentar</t>
  </si>
  <si>
    <t>Cliente:</t>
  </si>
  <si>
    <t>Casilla a revisar</t>
  </si>
  <si>
    <t>Devuelve resultado</t>
  </si>
  <si>
    <t>MONTAJE TOTALES</t>
  </si>
  <si>
    <t>% mano de obra con el material</t>
  </si>
  <si>
    <t>DESPLAZAMIENTOS</t>
  </si>
  <si>
    <t>ALOJAMIENTO Y DIETAS</t>
  </si>
  <si>
    <t>COMPRUEBA</t>
  </si>
  <si>
    <t>M2 TECHO</t>
  </si>
  <si>
    <t>100M2/1 SEMANA X 4 OPERARIOS - PREVISIÓN SEMANAS</t>
  </si>
  <si>
    <t>MULTIPLICADOR (GRADO DIFICULTAD)</t>
  </si>
  <si>
    <t>REMATES, SILICONA, ETC.</t>
  </si>
  <si>
    <t>MOD DE LA OBRA</t>
  </si>
  <si>
    <t>SEMANAS</t>
  </si>
  <si>
    <t>MESES</t>
  </si>
  <si>
    <t>DIAS</t>
  </si>
  <si>
    <t>MONTAJE CERRAMIENTOS</t>
  </si>
  <si>
    <t>EQUIPO MONTAJE</t>
  </si>
  <si>
    <t>MONTADORES</t>
  </si>
  <si>
    <t>PROPIOS STE</t>
  </si>
  <si>
    <t>ENCARGADO</t>
  </si>
  <si>
    <t>€/MES</t>
  </si>
  <si>
    <t>€/HORA</t>
  </si>
  <si>
    <t>ALOJAMIENTO</t>
  </si>
  <si>
    <t>DIETAS</t>
  </si>
  <si>
    <t>VUELOS (PERSONAS QUE VIAJAN)</t>
  </si>
  <si>
    <t>Nº VUELOS</t>
  </si>
  <si>
    <t>€/ VUELO</t>
  </si>
  <si>
    <t>Nº PISOS</t>
  </si>
  <si>
    <t>Nº NOCHES HOTEL</t>
  </si>
  <si>
    <t>Nº COCHES</t>
  </si>
  <si>
    <t xml:space="preserve">€/MES </t>
  </si>
  <si>
    <t>COSTE DIETA PERNOCTADA DIARIA:</t>
  </si>
  <si>
    <t>COSTE MENSUAL:</t>
  </si>
  <si>
    <t>KMS</t>
  </si>
  <si>
    <t>€/KM</t>
  </si>
  <si>
    <t>COSTE DIETA DIARIA:</t>
  </si>
  <si>
    <t>MONTAJE ENCLAVAMIENTOS Y PUESTA EN MARCHA</t>
  </si>
  <si>
    <t>DURACIÓN DE LA OBRA</t>
  </si>
  <si>
    <t>DIRECCIÓN DE OBRA</t>
  </si>
  <si>
    <t>ALOJAMIENTO &amp; DIETAS</t>
  </si>
  <si>
    <t>DESPLAZAMIENTO (PERSONAS QUE VIAJAN)</t>
  </si>
  <si>
    <t>Nº DESPLAZAMIENTOS</t>
  </si>
  <si>
    <t>€/DESPLAZAMIENTO</t>
  </si>
  <si>
    <t>EL COSTE PISO SE DEJA A 1.200€ EN TODOS LOS PAISES</t>
  </si>
  <si>
    <t>ES EL PROMEDIO HISTORICO</t>
  </si>
  <si>
    <t>TABLA DE METRAJE PARA INSERTAR OFERTA</t>
  </si>
  <si>
    <t>FILTRAR "MOSTRAR" PARA VISUALIZAR PARTIDAS ÚTILES</t>
  </si>
  <si>
    <t>Uds</t>
  </si>
  <si>
    <t>PRECIO 
UNITARIO</t>
  </si>
  <si>
    <t>TOTAL PRECIO PRODUCTO</t>
  </si>
  <si>
    <t>TOTAL PRECIO SUBPARTIDA</t>
  </si>
  <si>
    <t>TOTAL PRECIO PARTIDA</t>
  </si>
  <si>
    <t>N</t>
  </si>
  <si>
    <t>PANELES VERTICALES - SALA LIMPIA</t>
  </si>
  <si>
    <t>Color Blanco
RAL 9002</t>
  </si>
  <si>
    <r>
      <t>m</t>
    </r>
    <r>
      <rPr>
        <vertAlign val="superscript"/>
        <sz val="11"/>
        <rFont val="Calibri"/>
        <family val="2"/>
        <scheme val="minor"/>
      </rPr>
      <t>2</t>
    </r>
  </si>
  <si>
    <t>PANELES TECHO - SALA LIMPIA</t>
  </si>
  <si>
    <t>Metálico - suplemento acabado inox AISI 304 (para panel metálico)</t>
  </si>
  <si>
    <r>
      <t>m</t>
    </r>
    <r>
      <rPr>
        <vertAlign val="superscript"/>
        <sz val="11"/>
        <rFont val="Calibri"/>
        <family val="2"/>
        <scheme val="minor"/>
      </rPr>
      <t>2</t>
    </r>
    <r>
      <rPr>
        <sz val="11"/>
        <rFont val="Calibri"/>
        <family val="2"/>
        <scheme val="minor"/>
      </rPr>
      <t xml:space="preserve"> x cara</t>
    </r>
  </si>
  <si>
    <t>Metálico - suplemento acabado PET (para panel metálico)</t>
  </si>
  <si>
    <t>Metálico - suplemento chapa 0,6mm (para panel metálico)</t>
  </si>
  <si>
    <t>ACTIVAR PARTIDA DE ALZADA PONIENDO "1"</t>
  </si>
  <si>
    <t>Cristal de separacíon en las líneas de acondicionamiento, a base de cristal de seguridad  5+5, de altura 1500 mm, se incluye perfil H de unión entre los cristales y sellado con silicona fungicida de las uniones.</t>
  </si>
  <si>
    <t xml:space="preserve">Techo amstrong </t>
  </si>
  <si>
    <r>
      <t xml:space="preserve">Perfileria higiénica de aluminio:
</t>
    </r>
    <r>
      <rPr>
        <sz val="11"/>
        <rFont val="Calibri"/>
        <family val="2"/>
        <scheme val="minor"/>
      </rPr>
      <t>Perfileria higiénica de aluminio especial para salas blancas, lacada en blanco. Perfiles de ajuste, sujeción y remate de uniones entre las diferentes particiones y elementos que componen la arquitectura de salas. Perfiles concavos y convexos para esquinas inteiores y exteriores, perfiles de union y encuentro entre parametros, perfiles de sujeccion a forjados.</t>
    </r>
  </si>
  <si>
    <t>PA</t>
  </si>
  <si>
    <t>Perfil media caña aluminio lacado blanco</t>
  </si>
  <si>
    <t>Perfil media caña (ángulo) acero</t>
  </si>
  <si>
    <r>
      <t xml:space="preserve">Sellado con Silicona blanca fungicida:
</t>
    </r>
    <r>
      <rPr>
        <sz val="11"/>
        <rFont val="Calibri"/>
        <family val="2"/>
        <scheme val="minor"/>
      </rPr>
      <t>Silicona blanca fungicida de alta duración para sellado de todas las juntas y encuentros.</t>
    </r>
  </si>
  <si>
    <t>Silicona blanca fungida</t>
  </si>
  <si>
    <t>PUERTAS BATIENTES SIMPLES HPL</t>
  </si>
  <si>
    <r>
      <rPr>
        <b/>
        <sz val="11"/>
        <rFont val="Calibri"/>
        <family val="2"/>
        <scheme val="minor"/>
      </rPr>
      <t>Puerta de hoja simple 700x2100mm color azul SICH</t>
    </r>
    <r>
      <rPr>
        <sz val="11"/>
        <rFont val="Calibri"/>
        <family val="2"/>
        <scheme val="minor"/>
      </rPr>
      <t xml:space="preserve">
Con marco perimetral de aluminio totalmente enrasado y acessorios de montaje.</t>
    </r>
  </si>
  <si>
    <r>
      <t xml:space="preserve">Puerta de hoja simple 800x2100mm color azul SICH
</t>
    </r>
    <r>
      <rPr>
        <sz val="11"/>
        <rFont val="Calibri"/>
        <family val="2"/>
        <scheme val="minor"/>
      </rPr>
      <t>Con marco perimetral de aluminio totalmente enrasado y acessorios de montaje.</t>
    </r>
  </si>
  <si>
    <r>
      <rPr>
        <b/>
        <sz val="11"/>
        <rFont val="Calibri"/>
        <family val="2"/>
        <scheme val="minor"/>
      </rPr>
      <t>Puerta de hoja simple 700x2200mm color azul SICH</t>
    </r>
    <r>
      <rPr>
        <sz val="11"/>
        <rFont val="Calibri"/>
        <family val="2"/>
        <scheme val="minor"/>
      </rPr>
      <t xml:space="preserve">
Con marco perimetral de aluminio totalmente enrasado y acessorios de montaje</t>
    </r>
  </si>
  <si>
    <r>
      <rPr>
        <b/>
        <sz val="11"/>
        <rFont val="Calibri"/>
        <family val="2"/>
        <scheme val="minor"/>
      </rPr>
      <t>Puerta de hoja simple 800x2200mm color azul SICH</t>
    </r>
    <r>
      <rPr>
        <sz val="11"/>
        <rFont val="Calibri"/>
        <family val="2"/>
        <scheme val="minor"/>
      </rPr>
      <t xml:space="preserve">
Con marco perimetral de aluminio totalmente enrasado y acessorios de montaje.</t>
    </r>
  </si>
  <si>
    <r>
      <rPr>
        <b/>
        <sz val="11"/>
        <rFont val="Calibri"/>
        <family val="2"/>
        <scheme val="minor"/>
      </rPr>
      <t>Puerta doble (800+400)x2100mm color azul SICH</t>
    </r>
    <r>
      <rPr>
        <sz val="11"/>
        <rFont val="Calibri"/>
        <family val="2"/>
        <scheme val="minor"/>
      </rPr>
      <t xml:space="preserve">
Con marco perimetral de aluminio totalmente enrasado y acessorios de montaje.</t>
    </r>
  </si>
  <si>
    <r>
      <rPr>
        <b/>
        <sz val="11"/>
        <rFont val="Calibri"/>
        <family val="2"/>
        <scheme val="minor"/>
      </rPr>
      <t>Puerta doble (1000+400)x2100mm color azul SICH</t>
    </r>
    <r>
      <rPr>
        <sz val="11"/>
        <rFont val="Calibri"/>
        <family val="2"/>
        <scheme val="minor"/>
      </rPr>
      <t xml:space="preserve">
Con marco perimetral de aluminio totalmente enrasado y acessorios de montaje.</t>
    </r>
  </si>
  <si>
    <r>
      <rPr>
        <b/>
        <sz val="11"/>
        <rFont val="Calibri"/>
        <family val="2"/>
        <scheme val="minor"/>
      </rPr>
      <t>Puerta doble (700+400)x2200mm color azul SICH</t>
    </r>
    <r>
      <rPr>
        <sz val="11"/>
        <rFont val="Calibri"/>
        <family val="2"/>
        <scheme val="minor"/>
      </rPr>
      <t xml:space="preserve">
Con marco perimetral de aluminio totalmente enrasado y acessorios de montaje.</t>
    </r>
  </si>
  <si>
    <r>
      <rPr>
        <b/>
        <sz val="11"/>
        <rFont val="Calibri"/>
        <family val="2"/>
        <scheme val="minor"/>
      </rPr>
      <t>Puerta doble (1000+400)x2200mm color azul SICH</t>
    </r>
    <r>
      <rPr>
        <sz val="11"/>
        <rFont val="Calibri"/>
        <family val="2"/>
        <scheme val="minor"/>
      </rPr>
      <t xml:space="preserve">
Con marco perimetral de aluminio totalmente enrasado y acessorios de montaje.</t>
    </r>
  </si>
  <si>
    <r>
      <rPr>
        <b/>
        <sz val="11"/>
        <rFont val="Calibri"/>
        <family val="2"/>
        <scheme val="minor"/>
      </rPr>
      <t>Óculo puerta batiente 400x800mm - Esquinas rectas</t>
    </r>
    <r>
      <rPr>
        <sz val="11"/>
        <rFont val="Calibri"/>
        <family val="2"/>
        <scheme val="minor"/>
      </rPr>
      <t xml:space="preserve">
Compuestos por vidrio  doble de 4.0mm de espesor, con cámara de aire interna y marco separador en aluminio lacado en blanco, completamente impermeable y provisto de gel de sílice en su interior para evitar condensaciones.</t>
    </r>
  </si>
  <si>
    <r>
      <rPr>
        <b/>
        <sz val="11"/>
        <rFont val="Calibri"/>
        <family val="2"/>
        <scheme val="minor"/>
      </rPr>
      <t>Óculo puerta batiente 400x800mm - Esquinas redondeadas</t>
    </r>
    <r>
      <rPr>
        <sz val="11"/>
        <rFont val="Calibri"/>
        <family val="2"/>
        <scheme val="minor"/>
      </rPr>
      <t xml:space="preserve">
Compuestos por vidrio  doble de 4.0mm de espesor, con cámara de aire interna y marco separador en aluminio lacado en blanco, completamente impermeable y provisto de gel de sílice en su interior para evitar condensaciones.</t>
    </r>
  </si>
  <si>
    <t>Pomo nova</t>
  </si>
  <si>
    <t>Pomo nova con llave</t>
  </si>
  <si>
    <t>Pomo PIGGIO</t>
  </si>
  <si>
    <t>Pomo PIGGI con condena</t>
  </si>
  <si>
    <t>Pomo PIGGIO con llave igual</t>
  </si>
  <si>
    <t>Pomo PIGGIO con llave diferente</t>
  </si>
  <si>
    <t>Maneta inoxidable</t>
  </si>
  <si>
    <t>Control de acceso automático huella+tarjeta</t>
  </si>
  <si>
    <t>Control de acceso automático huella+tarjeta+WIFI</t>
  </si>
  <si>
    <t>Control de acceso automático huella+tarjeta IP65</t>
  </si>
  <si>
    <t>Brazo hidráulico para cierre automático</t>
  </si>
  <si>
    <t>Plancha inox para protección puerta (h=300MM)</t>
  </si>
  <si>
    <t>Plancha inox para protección puerta (h=400MM)</t>
  </si>
  <si>
    <t>Plancha inox para protección puerta (h=600MM)</t>
  </si>
  <si>
    <t>Barra salida de emergencia</t>
  </si>
  <si>
    <t>Suplemento por instalación en obra civil</t>
  </si>
  <si>
    <t>Accesorio inoxidable</t>
  </si>
  <si>
    <t>Suplemento por cambio de color</t>
  </si>
  <si>
    <t>Puerta enrollable autoreparable de laboratorio 1500x2500 + semáforo</t>
  </si>
  <si>
    <t>Puerta enrollable autoreparable de laboratorio 2000x2500 + semáforo</t>
  </si>
  <si>
    <t>Puerta enrollable autoreparable de laboratorio 2000x3000 + semáforo</t>
  </si>
  <si>
    <t>Puerta enrollable autoreparable de laboratorio 2500x3000 + semáforo</t>
  </si>
  <si>
    <t>Óculo( standard 663lx333h)</t>
  </si>
  <si>
    <t>Activación por radar</t>
  </si>
  <si>
    <t>Secuencia interlock puerta SAS</t>
  </si>
  <si>
    <t>Puerta corredera doble HPL</t>
  </si>
  <si>
    <t>Puerta corredera doble VIDRIO</t>
  </si>
  <si>
    <t>Automática</t>
  </si>
  <si>
    <t>Óculo (standard 663lx333h)</t>
  </si>
  <si>
    <t>Secuencia Interlock</t>
  </si>
  <si>
    <t>KIT INTERLOCKS</t>
  </si>
  <si>
    <r>
      <rPr>
        <b/>
        <sz val="11"/>
        <rFont val="Calibri"/>
        <family val="2"/>
        <scheme val="minor"/>
      </rPr>
      <t xml:space="preserve">Semáforo integrado en marco </t>
    </r>
    <r>
      <rPr>
        <sz val="11"/>
        <rFont val="Calibri"/>
        <family val="2"/>
        <scheme val="minor"/>
      </rPr>
      <t xml:space="preserve">
Con botonera, señal óptica y sonora. </t>
    </r>
  </si>
  <si>
    <r>
      <rPr>
        <b/>
        <sz val="11"/>
        <rFont val="Calibri"/>
        <family val="2"/>
        <scheme val="minor"/>
      </rPr>
      <t xml:space="preserve">Enclavamiento </t>
    </r>
    <r>
      <rPr>
        <sz val="11"/>
        <rFont val="Calibri"/>
        <family val="2"/>
        <scheme val="minor"/>
      </rPr>
      <t xml:space="preserve">
Enclavamiento electromecánico programable </t>
    </r>
  </si>
  <si>
    <r>
      <rPr>
        <b/>
        <sz val="11"/>
        <rFont val="Calibri"/>
        <family val="2"/>
        <scheme val="minor"/>
      </rPr>
      <t xml:space="preserve">Semáforo + Enclavamiento 
</t>
    </r>
    <r>
      <rPr>
        <sz val="11"/>
        <rFont val="Calibri"/>
        <family val="2"/>
        <scheme val="minor"/>
      </rPr>
      <t>Enclavamiento electromecánico programable y semáforo con botonera, señal óptica y señal sonora.</t>
    </r>
  </si>
  <si>
    <r>
      <rPr>
        <b/>
        <sz val="11"/>
        <rFont val="Calibri"/>
        <family val="2"/>
        <scheme val="minor"/>
      </rPr>
      <t>Controlado compacta</t>
    </r>
    <r>
      <rPr>
        <sz val="11"/>
        <rFont val="Calibri"/>
        <family val="2"/>
        <scheme val="minor"/>
      </rPr>
      <t xml:space="preserve">
Controladora compacta para interlock a 2 puertas.</t>
    </r>
  </si>
  <si>
    <r>
      <rPr>
        <b/>
        <sz val="11"/>
        <rFont val="Calibri"/>
        <family val="2"/>
        <scheme val="minor"/>
      </rPr>
      <t>Controlado compacta</t>
    </r>
    <r>
      <rPr>
        <sz val="11"/>
        <rFont val="Calibri"/>
        <family val="2"/>
        <scheme val="minor"/>
      </rPr>
      <t xml:space="preserve">
Controladora compacta para interlock a 3 puertas.</t>
    </r>
  </si>
  <si>
    <r>
      <rPr>
        <b/>
        <sz val="11"/>
        <rFont val="Calibri"/>
        <family val="2"/>
        <scheme val="minor"/>
      </rPr>
      <t>Controlado compacta</t>
    </r>
    <r>
      <rPr>
        <sz val="11"/>
        <rFont val="Calibri"/>
        <family val="2"/>
        <scheme val="minor"/>
      </rPr>
      <t xml:space="preserve">
Controladora compacta para interlock a 4 puertas.</t>
    </r>
  </si>
  <si>
    <r>
      <rPr>
        <b/>
        <sz val="11"/>
        <rFont val="Calibri"/>
        <family val="2"/>
        <scheme val="minor"/>
      </rPr>
      <t>Cuadro PLC de comando.  (X puertas)</t>
    </r>
    <r>
      <rPr>
        <sz val="11"/>
        <rFont val="Calibri"/>
        <family val="2"/>
        <scheme val="minor"/>
      </rPr>
      <t xml:space="preserve">
Programado para secuencias interlocks requeridas.</t>
    </r>
  </si>
  <si>
    <r>
      <t xml:space="preserve">Ventana enrasada simple 1280x1000mm e=60mm; 
</t>
    </r>
    <r>
      <rPr>
        <sz val="11"/>
        <rFont val="Calibri"/>
        <family val="2"/>
        <scheme val="minor"/>
      </rPr>
      <t>Compuestos por vidrio laminado doble de 4.0mm de espesor, con cámara de aire interna y marco separador en aluminio lacado en blanco, completamente impermeable y provisto de gel de sílice en su interior para evitar condensaciones</t>
    </r>
    <r>
      <rPr>
        <b/>
        <sz val="11"/>
        <rFont val="Calibri"/>
        <family val="2"/>
        <scheme val="minor"/>
      </rPr>
      <t>.</t>
    </r>
  </si>
  <si>
    <r>
      <t xml:space="preserve">Ventana enrasada Panorámica 2560x1000mm e=60mm; 
</t>
    </r>
    <r>
      <rPr>
        <sz val="11"/>
        <rFont val="Calibri"/>
        <family val="2"/>
        <scheme val="minor"/>
      </rPr>
      <t>Compuestos por vidrio laminado doble de 4.0mm de espesor, con cámara de aire interna y marco separador en aluminio lacado en blanco, completamente impermeable y provisto de gel de sílice en su interior para evitar condensaciones.</t>
    </r>
  </si>
  <si>
    <r>
      <rPr>
        <b/>
        <sz val="11"/>
        <rFont val="Calibri"/>
        <family val="2"/>
        <scheme val="minor"/>
      </rPr>
      <t>VENTANA 900x900mm e=60mm; ESQUINAS REDONDEADAS</t>
    </r>
    <r>
      <rPr>
        <sz val="11"/>
        <rFont val="Calibri"/>
        <family val="2"/>
        <scheme val="minor"/>
      </rPr>
      <t xml:space="preserve">
Compuestos por vidrio laminado doble de 4.0mm de espesor, con cámara de aire interna y marco separador en aluminio lacado en blanco, completamente impermeable y provisto de gel de sílice en su interior para evitar condensaciones.</t>
    </r>
  </si>
  <si>
    <t>Passbox estático 500x500X500mm; panel-interior inox; enclavamiento,óculo</t>
  </si>
  <si>
    <t>Passbox estático 500x500X500mm; panel-interior panel; enclavamiento,óculo</t>
  </si>
  <si>
    <t>Passbox estático de resina 700X1000X1500; panel; enclavamiento, óculo</t>
  </si>
  <si>
    <t>Passbox estático de resina 100X1000X1500; panel; enclavamiento, óculo</t>
  </si>
  <si>
    <t>Passbox dinámico de resina 1200x1200X1500mm; conjunto autónomo (ver descriptiva desglosada)</t>
  </si>
  <si>
    <t>Passbox estático inox 600x600X600mm; conjunto inox (ver descriptiva desglosada)</t>
  </si>
  <si>
    <t>Suplemento luz ultravioleta</t>
  </si>
  <si>
    <t>Suplemento ambiente biológico</t>
  </si>
  <si>
    <t>Suplemento cambio dimensiones</t>
  </si>
  <si>
    <t>Luminaria LED 4x15W con cubreluminaria de 635x635mm</t>
  </si>
  <si>
    <t>Luminaria LED 2x15W con cubreluminaria de 635x635mm</t>
  </si>
  <si>
    <t>Luminaria MAGNETSICH 40W4000K 625x625mm</t>
  </si>
  <si>
    <t>Luminaria MAGNETSICH 20W4000K 325x625mm</t>
  </si>
  <si>
    <t>Kit luminaria emergencia</t>
  </si>
  <si>
    <t>Luminaria de emergencia</t>
  </si>
  <si>
    <t>Luminaria ATEX</t>
  </si>
  <si>
    <t>Luminaria inactínica</t>
  </si>
  <si>
    <t>SLEH-PM LED PULSAR 4x17W 4000 K+SVO Inactínica amarilla</t>
  </si>
  <si>
    <t>Clip PVC</t>
  </si>
  <si>
    <t>Tapón final PVC</t>
  </si>
  <si>
    <t>Anclaje PVC</t>
  </si>
  <si>
    <t>Banco resina - sin zapatero</t>
  </si>
  <si>
    <t>Banco resina - con zapatero</t>
  </si>
  <si>
    <t>Partida comodín</t>
  </si>
  <si>
    <t>PRECIO TOTAL</t>
  </si>
  <si>
    <t>Suma visibles con filtro"Mostrar" activado</t>
  </si>
  <si>
    <t>Suma precio todo (Partidas de alzada duplicadas)</t>
  </si>
  <si>
    <t>Suma precio total ("precio del metraje")</t>
  </si>
  <si>
    <t>CODE</t>
  </si>
  <si>
    <t>DESCRIPTION</t>
  </si>
  <si>
    <t>COMMENT</t>
  </si>
  <si>
    <t>QUANTITY</t>
  </si>
  <si>
    <t>Uts.</t>
  </si>
  <si>
    <t>PRICE UNITARY</t>
  </si>
  <si>
    <t>TOTAL PRICE PRODUCT</t>
  </si>
  <si>
    <t>TOTAL PRICE SUBHEADING</t>
  </si>
  <si>
    <t xml:space="preserve">TOTAL PRICE </t>
  </si>
  <si>
    <t>ENCLOSURES</t>
  </si>
  <si>
    <t>VERTICAL ENCLOSURES- CLEAN ROOM</t>
  </si>
  <si>
    <t>White Color
RAL 9002</t>
  </si>
  <si>
    <t>White Color
RAL 9003</t>
  </si>
  <si>
    <t>CEILING PANELS- CLEAN ROOM</t>
  </si>
  <si>
    <t>Metallic - AISI 304 stainless steel finish supplement (for metal panel)</t>
  </si>
  <si>
    <t>Metallic - pet finish supplement  (for metal panel)</t>
  </si>
  <si>
    <t>Metallic - 0.6mm sheet supplement (for metal panel)</t>
  </si>
  <si>
    <t>GLASS PANELS</t>
  </si>
  <si>
    <t>Glazed panel (5+5 laminated glass) without profiles</t>
  </si>
  <si>
    <t>Polished Edge</t>
  </si>
  <si>
    <t>Glass frame profile 60 white</t>
  </si>
  <si>
    <t>Half round profile L 40</t>
  </si>
  <si>
    <t>Half round profile 40</t>
  </si>
  <si>
    <t>Separation glass in the conditioning lines, based on  5+5 safety glass, 1500 mm high, including an H profile for joining the glass and sealing the joints with fungicidal silicone.</t>
  </si>
  <si>
    <t>GRID CEILING</t>
  </si>
  <si>
    <t xml:space="preserve">Ceiling armstrong </t>
  </si>
  <si>
    <t>Grid ceiling</t>
  </si>
  <si>
    <t>PROFILE AND SEALING</t>
  </si>
  <si>
    <t xml:space="preserve">PROFILE </t>
  </si>
  <si>
    <r>
      <t xml:space="preserve">Hygienic aluminum profiles:
</t>
    </r>
    <r>
      <rPr>
        <sz val="11"/>
        <rFont val="Calibri"/>
        <family val="2"/>
        <scheme val="minor"/>
      </rPr>
      <t>Special aluminum hygienic profiles for clean rooms, white lacquered. Adjustment profiles, fastening and finishing of joints between the different partitions and elements that make up the architecture of rooms. Concave and convex profiles for interior and exterior corners, union profiles and encounter between parameters, profiles for fastening to slabs.</t>
    </r>
  </si>
  <si>
    <t>Half round profile (half round + angle set) aluminum+steel</t>
  </si>
  <si>
    <t>Half round profile white lacquered aluminium</t>
  </si>
  <si>
    <t>Half round profile (angle) steel</t>
  </si>
  <si>
    <t>Inside corner trim</t>
  </si>
  <si>
    <t>External corner profile 60 small</t>
  </si>
  <si>
    <t>Outside corners</t>
  </si>
  <si>
    <t>Bone joint profile 60</t>
  </si>
  <si>
    <t>Floor fixing profile E=60MM</t>
  </si>
  <si>
    <t>Lacquered exposed floor fixing profile E=60MM</t>
  </si>
  <si>
    <t>Platen 110ml</t>
  </si>
  <si>
    <t>130x130 profile</t>
  </si>
  <si>
    <t>Door sword finish</t>
  </si>
  <si>
    <t>"L" support profile for ceilings</t>
  </si>
  <si>
    <t>"T" support profile for ceilings</t>
  </si>
  <si>
    <t>Profile Omega</t>
  </si>
  <si>
    <t>Omegas union profile</t>
  </si>
  <si>
    <t>Roof support brace</t>
  </si>
  <si>
    <t>Roof support brace with rod</t>
  </si>
  <si>
    <r>
      <t xml:space="preserve">Sealed with fungicidal white silicone:
</t>
    </r>
    <r>
      <rPr>
        <sz val="11"/>
        <rFont val="Calibri"/>
        <family val="2"/>
        <scheme val="minor"/>
      </rPr>
      <t>Highly durable fungicidal white silicone for sealing all joints and encounters.</t>
    </r>
  </si>
  <si>
    <t>White silicone fungicide</t>
  </si>
  <si>
    <t>DOORS HPL</t>
  </si>
  <si>
    <t>SIMPLE SWING DOORS HPL</t>
  </si>
  <si>
    <r>
      <rPr>
        <b/>
        <sz val="11"/>
        <rFont val="Calibri"/>
        <family val="2"/>
        <scheme val="minor"/>
      </rPr>
      <t xml:space="preserve">Single leaf door 700x2100mm blue color SICH
</t>
    </r>
    <r>
      <rPr>
        <sz val="11"/>
        <rFont val="Calibri"/>
        <family val="2"/>
        <scheme val="minor"/>
      </rPr>
      <t>With completely flush aluminum perimeter frame and mounting accessories.</t>
    </r>
  </si>
  <si>
    <r>
      <t xml:space="preserve">
Single leaf door 800x2100mm blue color SICH
</t>
    </r>
    <r>
      <rPr>
        <sz val="11"/>
        <rFont val="Calibri"/>
        <family val="2"/>
        <scheme val="minor"/>
      </rPr>
      <t>With completely flush aluminum perimeter frame and mounting accessories.</t>
    </r>
  </si>
  <si>
    <r>
      <rPr>
        <b/>
        <sz val="11"/>
        <rFont val="Calibri"/>
        <family val="2"/>
        <scheme val="minor"/>
      </rPr>
      <t xml:space="preserve">Single leaf door 700x2200mm blue color SICH
</t>
    </r>
    <r>
      <rPr>
        <sz val="11"/>
        <rFont val="Calibri"/>
        <family val="2"/>
        <scheme val="minor"/>
      </rPr>
      <t>With fully flush aluminum perimeter frame and mounting accessories</t>
    </r>
  </si>
  <si>
    <r>
      <rPr>
        <b/>
        <sz val="11"/>
        <rFont val="Calibri"/>
        <family val="2"/>
        <scheme val="minor"/>
      </rPr>
      <t xml:space="preserve">Single leaf door 800x2200mm blue color SICH
</t>
    </r>
    <r>
      <rPr>
        <sz val="11"/>
        <rFont val="Calibri"/>
        <family val="2"/>
        <scheme val="minor"/>
      </rPr>
      <t>With completely flush aluminum perimeter frame and mounting accessories.</t>
    </r>
  </si>
  <si>
    <t>DOUBLE SWING DOORS HPL</t>
  </si>
  <si>
    <r>
      <rPr>
        <b/>
        <sz val="11"/>
        <rFont val="Calibri"/>
        <family val="2"/>
        <scheme val="minor"/>
      </rPr>
      <t xml:space="preserve">Double door (800+400)x2100mm blue color SICH
</t>
    </r>
    <r>
      <rPr>
        <sz val="11"/>
        <rFont val="Calibri"/>
        <family val="2"/>
        <scheme val="minor"/>
      </rPr>
      <t>With completely flush aluminum perimeter frame and mounting accessories.</t>
    </r>
  </si>
  <si>
    <r>
      <t xml:space="preserve">Double door (1000+400)x2100mm blue color SICH
</t>
    </r>
    <r>
      <rPr>
        <sz val="11"/>
        <rFont val="Calibri"/>
        <family val="2"/>
        <scheme val="minor"/>
      </rPr>
      <t>With completely flush aluminum perimeter frame and mounting accessories.</t>
    </r>
  </si>
  <si>
    <r>
      <rPr>
        <b/>
        <sz val="11"/>
        <rFont val="Calibri"/>
        <family val="2"/>
        <scheme val="minor"/>
      </rPr>
      <t xml:space="preserve">Double door (700+400)x2200mm blue color SICH
</t>
    </r>
    <r>
      <rPr>
        <sz val="11"/>
        <rFont val="Calibri"/>
        <family val="2"/>
        <scheme val="minor"/>
      </rPr>
      <t>With completely flush aluminum perimeter frame and mounting accessories.</t>
    </r>
  </si>
  <si>
    <r>
      <t xml:space="preserve">Double door (1000+400)x2200mm blue color SICH
</t>
    </r>
    <r>
      <rPr>
        <sz val="11"/>
        <rFont val="Calibri"/>
        <family val="2"/>
        <scheme val="minor"/>
      </rPr>
      <t>With completely flush aluminum perimeter frame and mounting accessories.</t>
    </r>
  </si>
  <si>
    <t>DOORS METALLIC</t>
  </si>
  <si>
    <t>SIMPLE SWING DOORS METALLIC</t>
  </si>
  <si>
    <t>DOUBLE SWING DOORS METALLIC</t>
  </si>
  <si>
    <t>DOORS GLASS</t>
  </si>
  <si>
    <t>SIMPLE SWING DOORS GLASS</t>
  </si>
  <si>
    <t>DOUBLE SWING DOORS GLASS</t>
  </si>
  <si>
    <t>OPTIONAL SWING DOORS</t>
  </si>
  <si>
    <t>Single door guillotine</t>
  </si>
  <si>
    <t>Double door guillotine</t>
  </si>
  <si>
    <r>
      <rPr>
        <b/>
        <sz val="11"/>
        <rFont val="Calibri"/>
        <family val="2"/>
        <scheme val="minor"/>
      </rPr>
      <t>Hinged door eyelet 400x800mm - Straight corners</t>
    </r>
    <r>
      <rPr>
        <sz val="11"/>
        <rFont val="Calibri"/>
        <family val="2"/>
        <scheme val="minor"/>
      </rPr>
      <t xml:space="preserve">
Composed of 4.0mm thick double glass, with an internal air chamber and white lacquered aluminum separating frame, completely waterproof and provided with silica gel inside to prevent condensation.</t>
    </r>
  </si>
  <si>
    <r>
      <rPr>
        <b/>
        <sz val="11"/>
        <rFont val="Calibri"/>
        <family val="2"/>
        <scheme val="minor"/>
      </rPr>
      <t xml:space="preserve">Hinged door eyelet 400x800mm - Rounded corners
</t>
    </r>
    <r>
      <rPr>
        <sz val="11"/>
        <rFont val="Calibri"/>
        <family val="2"/>
        <scheme val="minor"/>
      </rPr>
      <t xml:space="preserve">Composed of 4.0mm thick double glass, with an internal air chamber and white lacquered aluminum separating frame, completely waterproof and provided with silica gel inside to prevent condensation. </t>
    </r>
  </si>
  <si>
    <t>Knob nova</t>
  </si>
  <si>
    <t>Knob nova with key</t>
  </si>
  <si>
    <t>Knob piggio</t>
  </si>
  <si>
    <t>Knob piggio with condemnation</t>
  </si>
  <si>
    <t>Knob piggio with same key</t>
  </si>
  <si>
    <t>knob piggio with different key</t>
  </si>
  <si>
    <t>Stainless handle</t>
  </si>
  <si>
    <t>Automatic access control fingerprint + card</t>
  </si>
  <si>
    <t>Automatic access control fingerprint + card +`WIFI</t>
  </si>
  <si>
    <t>Automatic access control fingerprint + card IP65</t>
  </si>
  <si>
    <t>Hydraulic arm for automatic closing</t>
  </si>
  <si>
    <t>Stainless steel sheet for door protection (h=300MM)</t>
  </si>
  <si>
    <t>Stainless steel sheet for door protection (h=400MM)</t>
  </si>
  <si>
    <t>Stainless steel sheet for door protection (h=600MM)</t>
  </si>
  <si>
    <t>Emergency exit bar</t>
  </si>
  <si>
    <t>Supplement for installation civil works</t>
  </si>
  <si>
    <t>Stainless steel accessories</t>
  </si>
  <si>
    <t>Supplement for color change</t>
  </si>
  <si>
    <t>AUTOMATIC ROLLING DOORS</t>
  </si>
  <si>
    <t>Laboratory self-repairing rolling door 1500x2500 + traffic light</t>
  </si>
  <si>
    <t>Laboratory self-repairing rolling door 2000x2500 + traffic light</t>
  </si>
  <si>
    <t>Laboratory self-repairing rolling door 2000x3000 + traffic light</t>
  </si>
  <si>
    <t>Laboratory self-repairing rolling door 2500x3000 + traffic light</t>
  </si>
  <si>
    <t>OPTIONAL ROLL-UP DOORS</t>
  </si>
  <si>
    <t>Óculus (standard 663lx333h)</t>
  </si>
  <si>
    <t>Radar activation</t>
  </si>
  <si>
    <t>SAS door interlock sequence</t>
  </si>
  <si>
    <t>SILDING DOORS</t>
  </si>
  <si>
    <t>Single sliding door HPL</t>
  </si>
  <si>
    <t>Single sliding door GLASS</t>
  </si>
  <si>
    <t>Double sliding door HPL</t>
  </si>
  <si>
    <t xml:space="preserve">Double sliding door GLASS </t>
  </si>
  <si>
    <t>OPTIONAL SILDING DOORS</t>
  </si>
  <si>
    <t>Automatic</t>
  </si>
  <si>
    <t>Interlock sequence</t>
  </si>
  <si>
    <r>
      <rPr>
        <b/>
        <sz val="11"/>
        <rFont val="Calibri"/>
        <family val="2"/>
        <scheme val="minor"/>
      </rPr>
      <t xml:space="preserve">Traffic light integrated in frame
</t>
    </r>
    <r>
      <rPr>
        <sz val="11"/>
        <rFont val="Calibri"/>
        <family val="2"/>
        <scheme val="minor"/>
      </rPr>
      <t>With keypad, optical and sound signal.</t>
    </r>
  </si>
  <si>
    <r>
      <rPr>
        <b/>
        <sz val="11"/>
        <rFont val="Calibri"/>
        <family val="2"/>
        <scheme val="minor"/>
      </rPr>
      <t xml:space="preserve">Interlock
</t>
    </r>
    <r>
      <rPr>
        <sz val="11"/>
        <rFont val="Calibri"/>
        <family val="2"/>
        <scheme val="minor"/>
      </rPr>
      <t xml:space="preserve">Programmable electromechanical interlock </t>
    </r>
  </si>
  <si>
    <r>
      <rPr>
        <b/>
        <sz val="11"/>
        <rFont val="Calibri"/>
        <family val="2"/>
        <scheme val="minor"/>
      </rPr>
      <t xml:space="preserve">Traffic light + Interlock
</t>
    </r>
    <r>
      <rPr>
        <sz val="11"/>
        <rFont val="Calibri"/>
        <family val="2"/>
        <scheme val="minor"/>
      </rPr>
      <t>Programmable electromechanical interlock and traffic light with keypad, optical signal and sound signal.</t>
    </r>
  </si>
  <si>
    <r>
      <rPr>
        <b/>
        <sz val="11"/>
        <rFont val="Calibri"/>
        <family val="2"/>
        <scheme val="minor"/>
      </rPr>
      <t xml:space="preserve">Compact controlled
</t>
    </r>
    <r>
      <rPr>
        <sz val="11"/>
        <rFont val="Calibri"/>
        <family val="2"/>
        <scheme val="minor"/>
      </rPr>
      <t>Compact controller for 2-door interlock</t>
    </r>
  </si>
  <si>
    <r>
      <rPr>
        <b/>
        <sz val="11"/>
        <rFont val="Calibri"/>
        <family val="2"/>
        <scheme val="minor"/>
      </rPr>
      <t xml:space="preserve">Compact controlled
</t>
    </r>
    <r>
      <rPr>
        <sz val="11"/>
        <rFont val="Calibri"/>
        <family val="2"/>
        <scheme val="minor"/>
      </rPr>
      <t>Compact controller for 3-door interlock</t>
    </r>
  </si>
  <si>
    <r>
      <rPr>
        <b/>
        <sz val="11"/>
        <rFont val="Calibri"/>
        <family val="2"/>
        <scheme val="minor"/>
      </rPr>
      <t xml:space="preserve">Compact controlled
</t>
    </r>
    <r>
      <rPr>
        <sz val="11"/>
        <rFont val="Calibri"/>
        <family val="2"/>
        <scheme val="minor"/>
      </rPr>
      <t>Compact controller for 4-door interlock</t>
    </r>
  </si>
  <si>
    <r>
      <t xml:space="preserve">PLC command panel. (x doors)
</t>
    </r>
    <r>
      <rPr>
        <sz val="11"/>
        <rFont val="Calibri"/>
        <family val="2"/>
        <scheme val="minor"/>
      </rPr>
      <t>Scheduled for required interlock sequences.</t>
    </r>
  </si>
  <si>
    <r>
      <rPr>
        <b/>
        <sz val="11"/>
        <rFont val="Calibri"/>
        <family val="2"/>
        <scheme val="minor"/>
      </rPr>
      <t>PLC command panel. (x doors)</t>
    </r>
    <r>
      <rPr>
        <sz val="11"/>
        <rFont val="Calibri"/>
        <family val="2"/>
        <scheme val="minor"/>
      </rPr>
      <t xml:space="preserve">
Scheduled for required interlock sequences.</t>
    </r>
  </si>
  <si>
    <r>
      <rPr>
        <b/>
        <sz val="11"/>
        <rFont val="Calibri"/>
        <family val="2"/>
        <scheme val="minor"/>
      </rPr>
      <t xml:space="preserve">PLC command panel. (x doors)
</t>
    </r>
    <r>
      <rPr>
        <sz val="11"/>
        <rFont val="Calibri"/>
        <family val="2"/>
        <scheme val="minor"/>
      </rPr>
      <t>Scheduled for required interlock sequences.</t>
    </r>
  </si>
  <si>
    <t>WINDOWS</t>
  </si>
  <si>
    <r>
      <t xml:space="preserve">Simple flush window 1280x1000mm e=60mm;
</t>
    </r>
    <r>
      <rPr>
        <sz val="11"/>
        <rFont val="Calibri"/>
        <family val="2"/>
        <scheme val="minor"/>
      </rPr>
      <t>Composed of 4.0mm thick double glass, with an internal air chamber and white lacquered aluminum separating frame, completely waterproof and provided with silica gel inside to prevent condensation.</t>
    </r>
  </si>
  <si>
    <r>
      <t xml:space="preserve">Panoramic flush window 2560x1000mm e=60mm;
</t>
    </r>
    <r>
      <rPr>
        <sz val="11"/>
        <rFont val="Calibri"/>
        <family val="2"/>
        <scheme val="minor"/>
      </rPr>
      <t>Composed of 4.0mm thick double glass, with an internal air chamber and white lacquered aluminum separating frame, completely waterproof and provided with silica gel inside to prevent condensation.</t>
    </r>
  </si>
  <si>
    <r>
      <rPr>
        <b/>
        <sz val="11"/>
        <rFont val="Calibri"/>
        <family val="2"/>
        <scheme val="minor"/>
      </rPr>
      <t xml:space="preserve">WINDOW 900x900mm e=60mm; ROUNDED CORNERS
</t>
    </r>
    <r>
      <rPr>
        <sz val="11"/>
        <rFont val="Calibri"/>
        <family val="2"/>
        <scheme val="minor"/>
      </rPr>
      <t>Composed of 4.0mm thick double glass, with an internal air chamber and white lacquered aluminum separating frame, completely waterproof and provided with silica gel inside to prevent condensation.</t>
    </r>
  </si>
  <si>
    <t>Static passbox 500x500X500mm;inner- pannel stainless steel; interlock,oculus</t>
  </si>
  <si>
    <t>Static passbox 500x500X500mm;inner- pannel ; interlock,oculus</t>
  </si>
  <si>
    <t>Static resin passbox 700X1000X1500; panel; interlock, oculus</t>
  </si>
  <si>
    <t>Static resin passbox 1000X1000X1500; panel; interlock, oculus</t>
  </si>
  <si>
    <t>Dynamic resin passbox 1200x120x1500mm; autonomus assembly( see breakdown descriptive)</t>
  </si>
  <si>
    <t>Static passbox inox 600x600X600mm; stainless steel assembly (see breakdown descriptive)</t>
  </si>
  <si>
    <t>Ultraviolet light descriptive</t>
  </si>
  <si>
    <t>Biological environment supplement</t>
  </si>
  <si>
    <t>Supplement change dimensions</t>
  </si>
  <si>
    <t>LIGHTNING</t>
  </si>
  <si>
    <t>4x15W LED lightning with 635x635mm luminaire cover</t>
  </si>
  <si>
    <t>2x15W LED lightning with 635x635mm luminaire cover</t>
  </si>
  <si>
    <t>Magnetic lightning 40W4000K 625x625mm</t>
  </si>
  <si>
    <t>Lightning magnetsich 20W4000K 325x625mm</t>
  </si>
  <si>
    <t>Emergency lightning kit</t>
  </si>
  <si>
    <t xml:space="preserve">Emergency lightning </t>
  </si>
  <si>
    <t>ATEX light</t>
  </si>
  <si>
    <t>lightning inactinica</t>
  </si>
  <si>
    <t>SLEH-PM LED PULSAR 4x17W 4000 K+SVO INACTINICA YELLOW</t>
  </si>
  <si>
    <t>PROTECTIONS</t>
  </si>
  <si>
    <t>PVC end cap</t>
  </si>
  <si>
    <t>PVC anchorage</t>
  </si>
  <si>
    <t>BENCHS</t>
  </si>
  <si>
    <t>Resin bench - without shoe rack</t>
  </si>
  <si>
    <t>Resin bench - with shoe rack</t>
  </si>
  <si>
    <t>TOTAL PRICE</t>
  </si>
  <si>
    <t>VENEZOLANOS</t>
  </si>
  <si>
    <t>€</t>
  </si>
  <si>
    <t>Puerta corredera simple VIDRIO (AUTOMATICA)</t>
  </si>
  <si>
    <t>Puerta corredera simple HPL (AUTOMATICA)</t>
  </si>
  <si>
    <r>
      <rPr>
        <b/>
        <sz val="11"/>
        <rFont val="Calibri"/>
        <family val="2"/>
        <scheme val="minor"/>
      </rPr>
      <t>Puerta de hoja simple 700x2100mm con marco de color blanco</t>
    </r>
    <r>
      <rPr>
        <sz val="11"/>
        <rFont val="Calibri"/>
        <family val="2"/>
        <scheme val="minor"/>
      </rPr>
      <t xml:space="preserve">
Con marco perimetral de aluminio totalmente enrasado y acessorios de montaje.
Compuesta por vidrio laminado 3+3mm y camara de aire anticondensación.</t>
    </r>
  </si>
  <si>
    <r>
      <t xml:space="preserve">Puerta de hoja simple 800x2100mm con marco de color blanco
</t>
    </r>
    <r>
      <rPr>
        <sz val="11"/>
        <rFont val="Calibri"/>
        <family val="2"/>
        <scheme val="minor"/>
      </rPr>
      <t>Con marco perimetral de aluminio totalmente enrasado y acessorios de montaje.
Compuesta por vidrio laminado 3+3mm y camara de aire anticondensación.</t>
    </r>
  </si>
  <si>
    <r>
      <rPr>
        <b/>
        <sz val="11"/>
        <rFont val="Calibri"/>
        <family val="2"/>
        <scheme val="minor"/>
      </rPr>
      <t>Puerta de hoja simple 700x2200mm con marco de color blanco</t>
    </r>
    <r>
      <rPr>
        <sz val="11"/>
        <rFont val="Calibri"/>
        <family val="2"/>
        <scheme val="minor"/>
      </rPr>
      <t xml:space="preserve">
Con marco perimetral de aluminio totalmente enrasado y acessorios de montaje.
Compuesta por vidrio laminado 3+3mm y camara de aire anticondensación.</t>
    </r>
  </si>
  <si>
    <r>
      <rPr>
        <b/>
        <sz val="11"/>
        <rFont val="Calibri"/>
        <family val="2"/>
        <scheme val="minor"/>
      </rPr>
      <t>Puerta de hoja simple 800x2200mm con marco de color blanco</t>
    </r>
    <r>
      <rPr>
        <sz val="11"/>
        <rFont val="Calibri"/>
        <family val="2"/>
        <scheme val="minor"/>
      </rPr>
      <t xml:space="preserve">
Con marco perimetral de aluminio totalmente enrasado y acessorios de montaje.
Compuesta por vidrio laminado 3+3mm y camara de aire anticondensación.</t>
    </r>
  </si>
  <si>
    <r>
      <rPr>
        <b/>
        <sz val="11"/>
        <rFont val="Calibri"/>
        <family val="2"/>
        <scheme val="minor"/>
      </rPr>
      <t>Puerta doble (800+400)x2100mm con marco de color blanco</t>
    </r>
    <r>
      <rPr>
        <sz val="11"/>
        <rFont val="Calibri"/>
        <family val="2"/>
        <scheme val="minor"/>
      </rPr>
      <t xml:space="preserve">
Con marco perimetral de aluminio totalmente enrasado y acessorios de montaje.</t>
    </r>
  </si>
  <si>
    <r>
      <rPr>
        <b/>
        <sz val="11"/>
        <rFont val="Calibri"/>
        <family val="2"/>
        <scheme val="minor"/>
      </rPr>
      <t>Puerta doble (1000+400)x2100mm con marco de color blanco</t>
    </r>
    <r>
      <rPr>
        <sz val="11"/>
        <rFont val="Calibri"/>
        <family val="2"/>
        <scheme val="minor"/>
      </rPr>
      <t xml:space="preserve">
Con marco perimetral de aluminio totalmente enrasado y acessorios de montaje.</t>
    </r>
  </si>
  <si>
    <r>
      <rPr>
        <b/>
        <sz val="11"/>
        <rFont val="Calibri"/>
        <family val="2"/>
        <scheme val="minor"/>
      </rPr>
      <t>Puerta doble (700+400)x2200mm con marco de color blanco</t>
    </r>
    <r>
      <rPr>
        <sz val="11"/>
        <rFont val="Calibri"/>
        <family val="2"/>
        <scheme val="minor"/>
      </rPr>
      <t xml:space="preserve">
Con marco perimetral de aluminio totalmente enrasado y acessorios de montaje.</t>
    </r>
  </si>
  <si>
    <r>
      <rPr>
        <b/>
        <sz val="11"/>
        <rFont val="Calibri"/>
        <family val="2"/>
        <scheme val="minor"/>
      </rPr>
      <t>Puerta doble (1000+400)x2200mm con marco de color blanco</t>
    </r>
    <r>
      <rPr>
        <sz val="11"/>
        <rFont val="Calibri"/>
        <family val="2"/>
        <scheme val="minor"/>
      </rPr>
      <t xml:space="preserve">
Con marco perimetral de aluminio totalmente enrasado y acessorios de montaje.</t>
    </r>
  </si>
  <si>
    <r>
      <rPr>
        <b/>
        <sz val="11"/>
        <rFont val="Calibri"/>
        <family val="2"/>
        <scheme val="minor"/>
      </rPr>
      <t>Single leaf door 700x2100mm with white door frame</t>
    </r>
    <r>
      <rPr>
        <sz val="11"/>
        <rFont val="Calibri"/>
        <family val="2"/>
        <scheme val="minor"/>
      </rPr>
      <t xml:space="preserve">
Completely flush with aluminum perimeter frame and mounting accessories.
Composed of 3+3mm laminated glass and anti-condensation air chamber.</t>
    </r>
  </si>
  <si>
    <r>
      <rPr>
        <b/>
        <sz val="11"/>
        <rFont val="Calibri"/>
        <family val="2"/>
        <scheme val="minor"/>
      </rPr>
      <t>Single leaf door 800x2100mm with white door frame</t>
    </r>
    <r>
      <rPr>
        <sz val="11"/>
        <rFont val="Calibri"/>
        <family val="2"/>
        <scheme val="minor"/>
      </rPr>
      <t xml:space="preserve">
Completely flush with aluminum perimeter frame and mounting accessories.</t>
    </r>
    <r>
      <rPr>
        <b/>
        <sz val="11"/>
        <rFont val="Calibri"/>
        <family val="2"/>
        <scheme val="minor"/>
      </rPr>
      <t xml:space="preserve">
</t>
    </r>
    <r>
      <rPr>
        <sz val="11"/>
        <rFont val="Calibri"/>
        <family val="2"/>
        <scheme val="minor"/>
      </rPr>
      <t>Composed of 3+3mm laminated glass and anti-condensation air chamber.</t>
    </r>
  </si>
  <si>
    <r>
      <rPr>
        <b/>
        <sz val="11"/>
        <rFont val="Calibri"/>
        <family val="2"/>
        <scheme val="minor"/>
      </rPr>
      <t>Single leaf door 700x2200mm with white door frame</t>
    </r>
    <r>
      <rPr>
        <sz val="11"/>
        <rFont val="Calibri"/>
        <family val="2"/>
        <scheme val="minor"/>
      </rPr>
      <t xml:space="preserve">
Completely flush with aluminum perimeter frame and mounting accessories.
Composed of 3+3mm laminated glass and anti-condensation air chamber.</t>
    </r>
  </si>
  <si>
    <r>
      <rPr>
        <b/>
        <sz val="11"/>
        <rFont val="Calibri"/>
        <family val="2"/>
        <scheme val="minor"/>
      </rPr>
      <t>Single leaf door 800x2200mm with white door frame</t>
    </r>
    <r>
      <rPr>
        <sz val="11"/>
        <rFont val="Calibri"/>
        <family val="2"/>
        <scheme val="minor"/>
      </rPr>
      <t xml:space="preserve">
Completely flush with aluminum perimeter frame and mounting accessories.
Composed of 3+3mm laminated glass and anti-condensation air chamber.</t>
    </r>
  </si>
  <si>
    <r>
      <rPr>
        <b/>
        <sz val="11"/>
        <rFont val="Calibri"/>
        <family val="2"/>
        <scheme val="minor"/>
      </rPr>
      <t>Double door (800+400)x2100mm with white door frame</t>
    </r>
    <r>
      <rPr>
        <sz val="11"/>
        <rFont val="Calibri"/>
        <family val="2"/>
        <scheme val="minor"/>
      </rPr>
      <t xml:space="preserve">
Completely flush with aluminum perimeter frame and mounting accessories.</t>
    </r>
  </si>
  <si>
    <r>
      <rPr>
        <b/>
        <sz val="11"/>
        <rFont val="Calibri"/>
        <family val="2"/>
        <scheme val="minor"/>
      </rPr>
      <t>Puerta doble (1000+400)x2100mm with white door frame</t>
    </r>
    <r>
      <rPr>
        <sz val="11"/>
        <rFont val="Calibri"/>
        <family val="2"/>
        <scheme val="minor"/>
      </rPr>
      <t xml:space="preserve">
Completely flush with aluminum perimeter frame and mounting accessories..</t>
    </r>
  </si>
  <si>
    <r>
      <rPr>
        <b/>
        <sz val="11"/>
        <rFont val="Calibri"/>
        <family val="2"/>
        <scheme val="minor"/>
      </rPr>
      <t>Puerta doble (700+400)x2200mm with white door frame</t>
    </r>
    <r>
      <rPr>
        <sz val="11"/>
        <rFont val="Calibri"/>
        <family val="2"/>
        <scheme val="minor"/>
      </rPr>
      <t xml:space="preserve">
Completely flush with aluminum perimeter frame and mounting accessories.</t>
    </r>
  </si>
  <si>
    <r>
      <rPr>
        <b/>
        <sz val="11"/>
        <rFont val="Calibri"/>
        <family val="2"/>
        <scheme val="minor"/>
      </rPr>
      <t>Puerta doble (1000+400)x2200mm with white door frame</t>
    </r>
    <r>
      <rPr>
        <sz val="11"/>
        <rFont val="Calibri"/>
        <family val="2"/>
        <scheme val="minor"/>
      </rPr>
      <t xml:space="preserve">
Completely flush with aluminum perimeter frame and mounting accessories.</t>
    </r>
  </si>
  <si>
    <t>Nº  TOTAL de puertas enclavadas autoenrollables</t>
  </si>
  <si>
    <t>K Fija</t>
  </si>
  <si>
    <t>PANEL DE RESINA 3mm + PIR e=60mm</t>
  </si>
  <si>
    <t>REV 01-04-24</t>
  </si>
  <si>
    <t>METÁLICO 0,5+ PIR e=60mm</t>
  </si>
  <si>
    <t>METÁLICO 0,5 + LANA DE ROCA - 80MM</t>
  </si>
  <si>
    <t xml:space="preserve">METÁLICO 0,5 + PIR - 40 MM </t>
  </si>
  <si>
    <r>
      <t xml:space="preserve">PANEL DE RESINA 3mm + PIR e=60mm
</t>
    </r>
    <r>
      <rPr>
        <sz val="11"/>
        <rFont val="Calibri"/>
        <family val="2"/>
        <scheme val="minor"/>
      </rPr>
      <t xml:space="preserve">Panel higiénico para salas limpias formado por núcleo de poliisocianurato (PIR) revestido por dos laminas de HPL de 3mm de espesor, con un grosor total de 60mm. El ensamblado de los paneles se realizará mediante perfil tubular de aluminio oculto que además
permite el paso de instalaciones. Módulos de 1290mm. </t>
    </r>
  </si>
  <si>
    <r>
      <t xml:space="preserve">Panel de Resina Ignifuga 3mm + Lana de roca, e=60mm:
</t>
    </r>
    <r>
      <rPr>
        <sz val="11"/>
        <rFont val="Calibri"/>
        <family val="2"/>
        <scheme val="minor"/>
      </rPr>
      <t>Panel higiénico para salas limpias formado por núcleo de lana de roca revestido por dos laminas de resina (HPL) ignifuga de 3mm de espesor, con un grosor total de 60mm. Preparadao para uniones entre paneles mediante hueso de aluminio. Módulos de 1290mm. Clasificación al fuego según Euroclases B s2 d0.</t>
    </r>
  </si>
  <si>
    <r>
      <t xml:space="preserve">Panel Metálico 0,5+ PIR e=60mm:
</t>
    </r>
    <r>
      <rPr>
        <sz val="11"/>
        <rFont val="Calibri"/>
        <family val="2"/>
        <scheme val="minor"/>
      </rPr>
      <t>Panel higiénico para salas limpias,  formado por núcleo de poliisocianurato (PIR) revestido por chapa de acero de 0,5mm de espesor, con un grosor total de 60mm. Con uniones por hueso de aluminio distanciados 1200mm.</t>
    </r>
    <r>
      <rPr>
        <b/>
        <sz val="11"/>
        <rFont val="Calibri"/>
        <family val="2"/>
        <scheme val="minor"/>
      </rPr>
      <t xml:space="preserve"> </t>
    </r>
    <r>
      <rPr>
        <sz val="11"/>
        <rFont val="Calibri"/>
        <family val="2"/>
        <scheme val="minor"/>
      </rPr>
      <t xml:space="preserve"> Clasificación al fuego B s2 d0.</t>
    </r>
  </si>
  <si>
    <r>
      <rPr>
        <b/>
        <sz val="11"/>
        <rFont val="Calibri"/>
        <family val="2"/>
        <scheme val="minor"/>
      </rPr>
      <t>Panel Metálico 0,5mm + PIR e=40mm:</t>
    </r>
    <r>
      <rPr>
        <sz val="11"/>
        <rFont val="Calibri"/>
        <family val="2"/>
        <scheme val="minor"/>
      </rPr>
      <t xml:space="preserve">
Panel higienico modular M1 con perfil de aluminio, formado por un núcleo de poliisocianurato (PIR) entre dos láminas de acero lacado (blanco por ambas caras) de 0,5 mm de espesor, con un espesor total de 40 mm. El ensamblado entre paneles es machihembrado.</t>
    </r>
  </si>
  <si>
    <r>
      <rPr>
        <b/>
        <sz val="11"/>
        <rFont val="Calibri"/>
        <family val="2"/>
        <scheme val="minor"/>
      </rPr>
      <t>Metálico 0,5 + lana de roca e= 80mm</t>
    </r>
    <r>
      <rPr>
        <sz val="11"/>
        <rFont val="Calibri"/>
        <family val="2"/>
        <scheme val="minor"/>
      </rPr>
      <t xml:space="preserve">
Panel higienico modular machimbreado, formado por un núcleo de Landa de Roca entre dos láminas de acero lacado (blanco por ambas caras) de 0,5 mm de espesor, con un espesor total de 80 mm. Reacción al fuego As1 d0.</t>
    </r>
  </si>
  <si>
    <r>
      <rPr>
        <b/>
        <sz val="11"/>
        <rFont val="Calibri"/>
        <family val="2"/>
        <scheme val="minor"/>
      </rPr>
      <t>Metálico 0,5 + lana de roca e= 100mm</t>
    </r>
    <r>
      <rPr>
        <sz val="11"/>
        <rFont val="Calibri"/>
        <family val="2"/>
        <scheme val="minor"/>
      </rPr>
      <t xml:space="preserve">
Panel higienico modular machimbreado, formado por un núcleo de Landa de Roca entre dos láminas de acero lacado (blanco por ambas caras) de 0,5 mm de espesor, con un espesor total de 100 mm. Reacción al fuego As1 d0.</t>
    </r>
  </si>
  <si>
    <r>
      <rPr>
        <b/>
        <sz val="11"/>
        <rFont val="Calibri"/>
        <family val="2"/>
        <scheme val="minor"/>
      </rPr>
      <t>Panel Metálico 0,5mm + PIR e=60mm:</t>
    </r>
    <r>
      <rPr>
        <sz val="11"/>
        <rFont val="Calibri"/>
        <family val="2"/>
        <scheme val="minor"/>
      </rPr>
      <t xml:space="preserve">
Panel higienico modular M1 con perfil de aluminio, formado por un núcleo de poliisocianurato (PIR) entre dos láminas de acero lacado (blanco por ambas caras) de 0,5 mm de espesor, con un espesor total de 60 mm. El ensamblado entre paneles es machihembrado.</t>
    </r>
  </si>
  <si>
    <r>
      <rPr>
        <b/>
        <sz val="11"/>
        <rFont val="Calibri"/>
        <family val="2"/>
        <scheme val="minor"/>
      </rPr>
      <t>Panel Metálico 0,5mm + PIR e=80mm:</t>
    </r>
    <r>
      <rPr>
        <sz val="11"/>
        <rFont val="Calibri"/>
        <family val="2"/>
        <scheme val="minor"/>
      </rPr>
      <t xml:space="preserve">
Panel higienico modular M1 con perfil de aluminio, formado por un núcleo de poliisocianurato (PIR) entre dos láminas de acero lacado (blanco por ambas caras) de 0,5 mm de espesor, con un espesor total de 80 mm. El ensamblado entre paneles es machihembrado.</t>
    </r>
  </si>
  <si>
    <t>METÁLICO 0,5+ LANA DE ROCA e=80mm</t>
  </si>
  <si>
    <t>RECERCADO A 2 CANTOS (e=60mm)</t>
  </si>
  <si>
    <t>RECERCADO A 4 CANTOS (e=60mm)</t>
  </si>
  <si>
    <t>RECERCADO A 2 CANTOS (e=80mm)</t>
  </si>
  <si>
    <t>RECERCADO A 4 CANTOS (e=80mm)</t>
  </si>
  <si>
    <t>CPAO-MINOX</t>
  </si>
  <si>
    <t>CPAO-MPET</t>
  </si>
  <si>
    <t>CPAO-MMET</t>
  </si>
  <si>
    <t>CPA-R60PIR1290</t>
  </si>
  <si>
    <t>CPA-R60LR1290</t>
  </si>
  <si>
    <t>CPA-M80LR1150</t>
  </si>
  <si>
    <t>CPA-M100LR1150</t>
  </si>
  <si>
    <t>CPA-M40PIR1150</t>
  </si>
  <si>
    <t>CPA-M60PIR1150</t>
  </si>
  <si>
    <t>CPA-M80PIR1150</t>
  </si>
  <si>
    <t>CPAO-CREC2E60</t>
  </si>
  <si>
    <t>CPAO-CREC2E80</t>
  </si>
  <si>
    <t>CPAO-CREC4E60</t>
  </si>
  <si>
    <t>CPAO-CREC4E80</t>
  </si>
  <si>
    <t>CPA-PC</t>
  </si>
  <si>
    <t>CPA-CP</t>
  </si>
  <si>
    <t>CPA-PEMACRIS60</t>
  </si>
  <si>
    <t>CPA-PEMCL40</t>
  </si>
  <si>
    <t>CPA-PEMC40</t>
  </si>
  <si>
    <t>CPA-PVSEP</t>
  </si>
  <si>
    <t>CTR-TA</t>
  </si>
  <si>
    <t>CTR-TR</t>
  </si>
  <si>
    <t>CPE-CMC</t>
  </si>
  <si>
    <t>CPE-MC</t>
  </si>
  <si>
    <t>CPE-MCL</t>
  </si>
  <si>
    <t>CPE-MCINT</t>
  </si>
  <si>
    <t>CPE-MCEXT60P</t>
  </si>
  <si>
    <t>CPE-MCESQ</t>
  </si>
  <si>
    <t>CPE-HU60</t>
  </si>
  <si>
    <t>CPE-UG60</t>
  </si>
  <si>
    <t>CPE-ULAC60</t>
  </si>
  <si>
    <t>CPE-P11</t>
  </si>
  <si>
    <t>CPE-AN13</t>
  </si>
  <si>
    <t>CPE-ESP</t>
  </si>
  <si>
    <t>CPE-L50</t>
  </si>
  <si>
    <t>CPE-T50</t>
  </si>
  <si>
    <t>CPE-OM</t>
  </si>
  <si>
    <t>CPE-UO</t>
  </si>
  <si>
    <t>CPE-TI</t>
  </si>
  <si>
    <t>CPE-TIV</t>
  </si>
  <si>
    <t>CPE-SIBF</t>
  </si>
  <si>
    <t>CPBH-PSD700X2100 MAN</t>
  </si>
  <si>
    <t>CPBH-PSD800X2100 MAN</t>
  </si>
  <si>
    <t>CPBH-PSD700X2200 MAN</t>
  </si>
  <si>
    <t>CPBH-PDDO80+40X210 MAN</t>
  </si>
  <si>
    <t>CPBH-PDDO100+40X210 MAN</t>
  </si>
  <si>
    <t>CPBH-PUD722</t>
  </si>
  <si>
    <t>CPBH-PUD1022</t>
  </si>
  <si>
    <t>CPBM-PSD700X2100 MAN</t>
  </si>
  <si>
    <t>CPBM-PSD800X2100 MAN</t>
  </si>
  <si>
    <t>CPBM-PSD700X2200 MAN</t>
  </si>
  <si>
    <t>CPBM-PDDO80+40X210 MAN</t>
  </si>
  <si>
    <t>CPBM-PDDO100+40X210 MAN</t>
  </si>
  <si>
    <t>CPBM-PUD722</t>
  </si>
  <si>
    <t>CPBM-PUD1022</t>
  </si>
  <si>
    <t>CPBV-PSD700X2100 MAN</t>
  </si>
  <si>
    <t>CPBV-PSD800X2100 MAN</t>
  </si>
  <si>
    <t>CPBV-PSD700X2200 MAN</t>
  </si>
  <si>
    <t>CPBV-PDDO80+40X210 MAN</t>
  </si>
  <si>
    <t>CPBV-PDDO100+40X210 MAN</t>
  </si>
  <si>
    <t>CPBV-PUD722</t>
  </si>
  <si>
    <t>CPBV-PUD1022</t>
  </si>
  <si>
    <t>CPBO-GUIPS800</t>
  </si>
  <si>
    <t>CPBO-GUIPD800+400</t>
  </si>
  <si>
    <t>CPBO-OREC40X80</t>
  </si>
  <si>
    <t>CPBO-ORED40X80</t>
  </si>
  <si>
    <t>CPBO-PONV</t>
  </si>
  <si>
    <t>CPBO-PONVLL</t>
  </si>
  <si>
    <t>CPBO-POPG</t>
  </si>
  <si>
    <t>CPBO-POPGCD</t>
  </si>
  <si>
    <t>CPBO-POPGLLI</t>
  </si>
  <si>
    <t>CPBO-POPGLLD</t>
  </si>
  <si>
    <t>CPBO-MANINOX</t>
  </si>
  <si>
    <t>CPBO-CAHT</t>
  </si>
  <si>
    <t>CPBO-CAHTW</t>
  </si>
  <si>
    <t>CPBO-CAHTIP</t>
  </si>
  <si>
    <t>CPBO-BHA</t>
  </si>
  <si>
    <t>CPBO-PINOX300</t>
  </si>
  <si>
    <t>CPBO-PINOX3400</t>
  </si>
  <si>
    <t>CPBO-PINOX600</t>
  </si>
  <si>
    <t>CPBO-BINOX</t>
  </si>
  <si>
    <t>CPBO-IOC</t>
  </si>
  <si>
    <t>CPBO-AINOX</t>
  </si>
  <si>
    <t>CPBO-CC</t>
  </si>
  <si>
    <t>CPEA-EA150X250</t>
  </si>
  <si>
    <t>CPEA-EA200X250</t>
  </si>
  <si>
    <t>CPEA-EA150X300</t>
  </si>
  <si>
    <t>CPEA-EA250X300</t>
  </si>
  <si>
    <t>CPEAO-O663x333</t>
  </si>
  <si>
    <t>CPEAO-AR</t>
  </si>
  <si>
    <t>CPEAO-SI</t>
  </si>
  <si>
    <t>CPEAO-SAI</t>
  </si>
  <si>
    <t>CPC-CSHPL</t>
  </si>
  <si>
    <t>CPC-CSV</t>
  </si>
  <si>
    <t>CPC-CDHPL</t>
  </si>
  <si>
    <t>CPC-CDV</t>
  </si>
  <si>
    <t>CPCO-A</t>
  </si>
  <si>
    <t>CPCO-O663x333</t>
  </si>
  <si>
    <t>CPCO-SI</t>
  </si>
  <si>
    <t>CINT-SEM</t>
  </si>
  <si>
    <t>CINT-ENCL</t>
  </si>
  <si>
    <t>CINT-ENCLSEM</t>
  </si>
  <si>
    <t>CINT-CONTR2P</t>
  </si>
  <si>
    <t>CINT-CONTR3P</t>
  </si>
  <si>
    <t>CINT-CONTR4P</t>
  </si>
  <si>
    <t>CINT-CUADENCL</t>
  </si>
  <si>
    <t>CVEN-CU60X128X100</t>
  </si>
  <si>
    <t>CVEN-CU60X258X100</t>
  </si>
  <si>
    <t>CVEN-CU60X90X90</t>
  </si>
  <si>
    <t>CPAB-ERES700X1500x1000EO</t>
  </si>
  <si>
    <t>CPAB-ERES100X100x150EO</t>
  </si>
  <si>
    <t>CPAB-EINTINOX50X50x50EO</t>
  </si>
  <si>
    <t>CPAB-EINTPAN50X50x50EO</t>
  </si>
  <si>
    <t>CPAB-DRES120X120x150AUT</t>
  </si>
  <si>
    <t>CPAB-EINOX60X60x60INOX</t>
  </si>
  <si>
    <t>CPABO-UV</t>
  </si>
  <si>
    <t>CPABO-AB</t>
  </si>
  <si>
    <t>CPABO-CD</t>
  </si>
  <si>
    <t>CLUM-LED4X17C60x60</t>
  </si>
  <si>
    <t>CLUM-LED2X17C30x60</t>
  </si>
  <si>
    <t>CLUM-MG40X4000D62X62</t>
  </si>
  <si>
    <t>CLUM-MG20X4000D32X62</t>
  </si>
  <si>
    <t>CLUM-KE</t>
  </si>
  <si>
    <t>CLUM-E</t>
  </si>
  <si>
    <t>CLUM-A</t>
  </si>
  <si>
    <t>CLUM-A+EME</t>
  </si>
  <si>
    <t>CLUM-I</t>
  </si>
  <si>
    <t>CPR-PAINOX</t>
  </si>
  <si>
    <t>CPR-PAPVC</t>
  </si>
  <si>
    <t>CPR-CPVC</t>
  </si>
  <si>
    <t>CPR-TFPVC</t>
  </si>
  <si>
    <t>CPR-APVC</t>
  </si>
  <si>
    <t>CPR-PUINOX</t>
  </si>
  <si>
    <t>CBC</t>
  </si>
  <si>
    <t>CBC-Z</t>
  </si>
  <si>
    <t>Constante K, Solo para Nr 4 (MAT).</t>
  </si>
  <si>
    <t>Version:</t>
  </si>
  <si>
    <t>ver:</t>
  </si>
  <si>
    <t>FECHA:</t>
  </si>
  <si>
    <t>CPA-MPVSEP</t>
  </si>
  <si>
    <t>CPBH-PSRF1100X2060</t>
  </si>
  <si>
    <t>CPA-M60PIR1200</t>
  </si>
  <si>
    <t>CPA-M60LR1200</t>
  </si>
  <si>
    <t>CPA-M80LR1200</t>
  </si>
  <si>
    <r>
      <t>Panel Metálico 0,5+ lana de roca e=60mm:</t>
    </r>
    <r>
      <rPr>
        <sz val="11"/>
        <rFont val="Calibri"/>
        <family val="2"/>
        <scheme val="minor"/>
      </rPr>
      <t xml:space="preserve">
Panel higiénico para salas limpias,  formado por núcleo de lana de roca revestido por chapa de acero de 0,5mm de espesor, con un grosor total de 60mm. Con uniones por hueso de aluminio distanciados 1200mm. Clasificación al fuego A2 s1 d0.</t>
    </r>
  </si>
  <si>
    <r>
      <t>Panel Metálico 0,5+ lana de roca e=80mm:</t>
    </r>
    <r>
      <rPr>
        <sz val="11"/>
        <rFont val="Calibri"/>
        <family val="2"/>
        <scheme val="minor"/>
      </rPr>
      <t xml:space="preserve">
Panel higiénico para salas limpias,  formado por núcleo de lana de roca revestido por chapa de acero de 0,5mm de espesor, con un grosor total de 80mm. Con uniones por hueso de aluminio distanciados 1200mm. Clasificación al fuego A2 s1 d0.</t>
    </r>
  </si>
  <si>
    <r>
      <t>m</t>
    </r>
    <r>
      <rPr>
        <vertAlign val="superscript"/>
        <sz val="11"/>
        <rFont val="Calibri"/>
        <family val="2"/>
        <scheme val="minor"/>
      </rPr>
      <t>3</t>
    </r>
    <r>
      <rPr>
        <sz val="11"/>
        <color theme="1"/>
        <rFont val="Calibri"/>
        <family val="2"/>
        <scheme val="minor"/>
      </rPr>
      <t/>
    </r>
  </si>
  <si>
    <t>Recercado a 2 cantos (e=60mm)</t>
  </si>
  <si>
    <t>Recercado a 4 cantos (e=60mm)</t>
  </si>
  <si>
    <t>Recercado a 2 cantos (e=80mm)</t>
  </si>
  <si>
    <t>Recercado a 4 cantos (e=80mm)</t>
  </si>
  <si>
    <r>
      <t xml:space="preserve">Resin Panel 3mm + PIR e=60mm:
</t>
    </r>
    <r>
      <rPr>
        <sz val="11"/>
        <rFont val="Calibri"/>
        <family val="2"/>
        <scheme val="minor"/>
      </rPr>
      <t>Hygienic panel for clean rooms made up of a polyisocyanurate (PIR) core covered with two 3mm thick HPL sheets, with a total thickness of 60mm. The assembly of the panels will be carried out by means of a hidden aluminum tubular profile that, in addition, allows the passage of facilities. 1290mm modules.</t>
    </r>
  </si>
  <si>
    <r>
      <t xml:space="preserve">3mm Fireproof Resin Panel + Rockwool, e=60mm:
</t>
    </r>
    <r>
      <rPr>
        <sz val="11"/>
        <rFont val="Calibri"/>
        <family val="2"/>
        <scheme val="minor"/>
      </rPr>
      <t>Hygienic panel for clean rooms made up of a rock wool core covered with two 3mm-thick sheets of fire-retardant resin (HPL), with a total thickness of 60mm. Prepared for joints between panels using aluminum bone. 1290mm modules. Fire classification according to Euroclasses B s2 d0.</t>
    </r>
  </si>
  <si>
    <r>
      <t xml:space="preserve">Metallic Panel 0.5+ PIR e=60mm:
</t>
    </r>
    <r>
      <rPr>
        <sz val="11"/>
        <rFont val="Calibri"/>
        <family val="2"/>
        <scheme val="minor"/>
      </rPr>
      <t>Hygienic panel for clean rooms, made up of a polyisocyanurate (PIR) core covered with 0.5mm thick steel sheet, with a total thickness of 60mm. With aluminum bone joints spaced 1200mm apart. Fire classification B s2 d0.</t>
    </r>
  </si>
  <si>
    <r>
      <t xml:space="preserve">Metallic Panel 0.5+ Rockwool e=60mm:
</t>
    </r>
    <r>
      <rPr>
        <sz val="11"/>
        <rFont val="Calibri"/>
        <family val="2"/>
        <scheme val="minor"/>
      </rPr>
      <t>Hygienic panel for clean rooms, made up of a rock wool core covered with 0.5mm thick steel sheet, with a total thickness of 60mm. With aluminum bone joints spaced 1200mm apart. Fire classification B s2 d0.</t>
    </r>
  </si>
  <si>
    <r>
      <t xml:space="preserve">Metallic Panel 0.5+ Rockwool e=80mm:
</t>
    </r>
    <r>
      <rPr>
        <sz val="11"/>
        <rFont val="Calibri"/>
        <family val="2"/>
        <scheme val="minor"/>
      </rPr>
      <t>Hygienic panel for clean rooms, made up of a rock wool core covered with 0.5mm thick steel sheet, with a total thickness of 80mm. With aluminum bone joints spaced 1200mm apart. Fire classification B s2 d0.</t>
    </r>
  </si>
  <si>
    <r>
      <rPr>
        <b/>
        <sz val="11"/>
        <rFont val="Calibri"/>
        <family val="2"/>
        <scheme val="minor"/>
      </rPr>
      <t xml:space="preserve">Metallic Panel 0.5+ PIR e=40mm:
</t>
    </r>
    <r>
      <rPr>
        <sz val="11"/>
        <rFont val="Calibri"/>
        <family val="2"/>
        <scheme val="minor"/>
      </rPr>
      <t>Modular hygiene panel with aluminum profile, formed by a polyisocyanurate (PIR) core between two sheets of lacquered steel (white on both sides) 0.5 mm thick, with a total thickness of 40 mm.</t>
    </r>
  </si>
  <si>
    <r>
      <rPr>
        <b/>
        <sz val="11"/>
        <rFont val="Calibri"/>
        <family val="2"/>
        <scheme val="minor"/>
      </rPr>
      <t xml:space="preserve">Metallic Panel 0.5+ PIR e=60mm:
</t>
    </r>
    <r>
      <rPr>
        <sz val="11"/>
        <rFont val="Calibri"/>
        <family val="2"/>
        <scheme val="minor"/>
      </rPr>
      <t>Modular hygiene panel with aluminum profile, formed by a polyisocyanurate (PIR) core between two sheets of lacquered steel (white on both sides) 0.5 mm thick, with a total thickness of 60 mm.</t>
    </r>
  </si>
  <si>
    <r>
      <rPr>
        <b/>
        <sz val="11"/>
        <rFont val="Calibri"/>
        <family val="2"/>
        <scheme val="minor"/>
      </rPr>
      <t xml:space="preserve">Metallic Panel 0.5+ PIR e=80mm:
</t>
    </r>
    <r>
      <rPr>
        <sz val="11"/>
        <rFont val="Calibri"/>
        <family val="2"/>
        <scheme val="minor"/>
      </rPr>
      <t>Modular hygiene panel with aluminum profile, formed by a polyisocyanurate (PIR) core between two sheets of lacquered steel (white on both sides) 0.5 mm thick, with a total thickness of 80 mm.</t>
    </r>
  </si>
  <si>
    <t>Panel with 2-sided framework, e=60mm:</t>
  </si>
  <si>
    <t>Panel with 4-sided framework, e=60mm:</t>
  </si>
  <si>
    <t>Panel with 2-sided framework, e=80mm:</t>
  </si>
  <si>
    <t>Panel with 4-sided framework, e=80mm:</t>
  </si>
  <si>
    <r>
      <rPr>
        <b/>
        <sz val="11"/>
        <rFont val="Calibri"/>
        <family val="2"/>
        <scheme val="minor"/>
      </rPr>
      <t xml:space="preserve">Metallic Panel 0.5+ Rockwool e=80mm:
</t>
    </r>
    <r>
      <rPr>
        <sz val="11"/>
        <rFont val="Calibri"/>
        <family val="2"/>
        <scheme val="minor"/>
      </rPr>
      <t>Modular hygiene panel with aluminum profile, formed by a rock wool core between two sheets of lacquered steel (white on both sides) 0.5 mm thick, with a total thickness of 80 mm. Fire classification A s1 d0.</t>
    </r>
  </si>
  <si>
    <r>
      <rPr>
        <b/>
        <sz val="11"/>
        <rFont val="Calibri"/>
        <family val="2"/>
        <scheme val="minor"/>
      </rPr>
      <t xml:space="preserve">Metallic Panel 0.5+ Rockwool e=100mm:
</t>
    </r>
    <r>
      <rPr>
        <sz val="11"/>
        <rFont val="Calibri"/>
        <family val="2"/>
        <scheme val="minor"/>
      </rPr>
      <t>Modular hygiene panel with aluminum profile, formed by a rock wool core between two sheets of lacquered steel (white on both sides) 0.5 mm thick, with a total thickness of 100 mm. Fire classification A s1 d0.</t>
    </r>
  </si>
  <si>
    <t>CPAR60-1290</t>
  </si>
  <si>
    <t>CPAR60-2LR1290</t>
  </si>
  <si>
    <t>CPAM60-1200</t>
  </si>
  <si>
    <t>CPAM60-LR1200</t>
  </si>
  <si>
    <t>CPAM80-LR1200</t>
  </si>
  <si>
    <t>CMAP</t>
  </si>
  <si>
    <t>CMCP</t>
  </si>
  <si>
    <t>CPEMACRIS60</t>
  </si>
  <si>
    <t>CPEMCL40</t>
  </si>
  <si>
    <t>CPEMC40</t>
  </si>
  <si>
    <t>CPECMC</t>
  </si>
  <si>
    <t>CPEMC</t>
  </si>
  <si>
    <t>CPEMCL</t>
  </si>
  <si>
    <t>CPEMCINT</t>
  </si>
  <si>
    <t>CPEMCEXT60P</t>
  </si>
  <si>
    <t>CPEMCESQ</t>
  </si>
  <si>
    <t>CPEHU60</t>
  </si>
  <si>
    <t>CPEUG60</t>
  </si>
  <si>
    <t>CPEULAC60</t>
  </si>
  <si>
    <t>CPEP11</t>
  </si>
  <si>
    <t>CPEAN13</t>
  </si>
  <si>
    <t>CPEESP</t>
  </si>
  <si>
    <t>CPEL50</t>
  </si>
  <si>
    <t>CPET50</t>
  </si>
  <si>
    <t>CPE0</t>
  </si>
  <si>
    <t>CPEU0</t>
  </si>
  <si>
    <t>CPETI</t>
  </si>
  <si>
    <t>CPETIV</t>
  </si>
  <si>
    <t>PSD-700X2100 MAN</t>
  </si>
  <si>
    <t>PSD-800X2100 MAN</t>
  </si>
  <si>
    <t>PSD-700X2200 MAN</t>
  </si>
  <si>
    <t>PDDO-80+40X210 MAN</t>
  </si>
  <si>
    <t>PDDO-100+40X210 MAN</t>
  </si>
  <si>
    <t>CPUD722</t>
  </si>
  <si>
    <t>CPUD1022</t>
  </si>
  <si>
    <t>CVECU60-128X100</t>
  </si>
  <si>
    <t>CVECU60-256X100</t>
  </si>
  <si>
    <t>CVER60-90X90</t>
  </si>
  <si>
    <t>CPBEI-500X500x500</t>
  </si>
  <si>
    <t>CPBER-500X500x500</t>
  </si>
  <si>
    <t>CPBER-700X1500x1000</t>
  </si>
  <si>
    <t>CPBER-1000X1500x1000</t>
  </si>
  <si>
    <t>CPBDR-1200X1200x1500</t>
  </si>
  <si>
    <t>CPBDI-600X600x600</t>
  </si>
  <si>
    <t>CLU-4X17</t>
  </si>
  <si>
    <t>CLU-2X17</t>
  </si>
  <si>
    <t>CLU-KE</t>
  </si>
  <si>
    <t>CLU-E</t>
  </si>
  <si>
    <t>CLU-A</t>
  </si>
  <si>
    <t>CLU-I</t>
  </si>
  <si>
    <t>CPR-PAI</t>
  </si>
  <si>
    <t>CPR-PAP</t>
  </si>
  <si>
    <t>CPR-PUI</t>
  </si>
  <si>
    <t>CBA</t>
  </si>
  <si>
    <t>CBA-Z</t>
  </si>
  <si>
    <t>OPCIONALES (PANELES VERTICALES)</t>
  </si>
  <si>
    <t>OPCIONALES (PANELES TECHO)</t>
  </si>
  <si>
    <t>OPTIONALS (VERTICAL ENCLOSURES)</t>
  </si>
  <si>
    <t>OPTIONALS (CEILING PANELS)</t>
  </si>
  <si>
    <t>OPCIONALES (PANEL FALSO TECHO)</t>
  </si>
  <si>
    <t>Recercado (Opcional) Panel vertical</t>
  </si>
  <si>
    <t>Recercado (Opcional) Panel falso techo</t>
  </si>
  <si>
    <t>PROTECCION ESQUINERO - INOX</t>
  </si>
  <si>
    <t>BRAZO DE CIERRE HIDRAULICO</t>
  </si>
  <si>
    <r>
      <rPr>
        <b/>
        <sz val="11"/>
        <rFont val="Calibri"/>
        <family val="2"/>
        <scheme val="minor"/>
      </rPr>
      <t>Brazo de cierre hidraulico</t>
    </r>
    <r>
      <rPr>
        <sz val="11"/>
        <rFont val="Calibri"/>
        <family val="2"/>
        <scheme val="minor"/>
      </rPr>
      <t xml:space="preserve">
Automatico con sistema No touch</t>
    </r>
  </si>
  <si>
    <r>
      <rPr>
        <b/>
        <sz val="11"/>
        <rFont val="Calibri"/>
        <family val="2"/>
        <scheme val="minor"/>
      </rPr>
      <t>Hydraulic closing arm</t>
    </r>
    <r>
      <rPr>
        <sz val="11"/>
        <rFont val="Calibri"/>
        <family val="2"/>
        <scheme val="minor"/>
      </rPr>
      <t xml:space="preserve">
Automatic with No-touch system</t>
    </r>
  </si>
  <si>
    <t>Cableado y conexión</t>
  </si>
  <si>
    <t>Esquemas electricos</t>
  </si>
  <si>
    <t>CABLEADO Y CONEXIÓN</t>
  </si>
  <si>
    <t>ESQUEMAS ELECTRICOS</t>
  </si>
  <si>
    <t>Set</t>
  </si>
  <si>
    <t>Wiring and connection</t>
  </si>
  <si>
    <t>Electrical diagrams</t>
  </si>
  <si>
    <t>COMMENTAIRE</t>
  </si>
  <si>
    <t>QUANTITÉ</t>
  </si>
  <si>
    <t>États-Unis.</t>
  </si>
  <si>
    <t>PRIX UNITAIRE</t>
  </si>
  <si>
    <t>PRIX TOTAL DU PRODUIT</t>
  </si>
  <si>
    <t>PRIX TOTAL SOUS-RUBRIQUE</t>
  </si>
  <si>
    <t xml:space="preserve"> PRIX TOTAL</t>
  </si>
  <si>
    <t>ENCEINTES</t>
  </si>
  <si>
    <t>ENCEINTES VERTICALES - SALLE BLANCHE</t>
  </si>
  <si>
    <t>Couleur blanche RAL 9002</t>
  </si>
  <si>
    <t>Couleur blanche RAL 9003</t>
  </si>
  <si>
    <r>
      <t xml:space="preserve">Panneau en résine ignifuge 3 mm + laine de roche, e = 60 mm:
</t>
    </r>
    <r>
      <rPr>
        <sz val="11"/>
        <rFont val="Calibri"/>
        <family val="2"/>
        <scheme val="minor"/>
      </rPr>
      <t>Panneau hygiénique pour salles blanches, composé d'une âme en laine de roche recouverte de deux feuilles de résine ignifuge (HPL) de 3 mm d'épaisseur, pour une épaisseur totale de 60 mm. Préparé pour les joints entre les panneaux avec des os en aluminium. Modules de 1290 mm. Classement au feu selon les Euroclasses B s2 d0.</t>
    </r>
  </si>
  <si>
    <r>
      <t xml:space="preserve">Panneau métallique 0,5+ PIR e=60mm :
</t>
    </r>
    <r>
      <rPr>
        <sz val="11"/>
        <rFont val="Calibri"/>
        <family val="2"/>
        <scheme val="minor"/>
      </rPr>
      <t>Panneau hygiénique pour salles blanches, composé d'une âme en polyisocyanurate (PIR) recouverte d'une tôle d'acier de 0,5 mm d'épaisseur, pour une épaisseur totale de 60 mm. Avec joints en aluminium espacés de 1 200 mm. Classement au feu B s2 d0.</t>
    </r>
  </si>
  <si>
    <r>
      <t xml:space="preserve">Panneau métallique 0,5+ laine de roche e=60mm :
</t>
    </r>
    <r>
      <rPr>
        <sz val="11"/>
        <rFont val="Calibri"/>
        <family val="2"/>
        <scheme val="minor"/>
      </rPr>
      <t>Panneau hygiénique pour salles blanches, composé d'une âme en laine de roche recouverte d'une tôle d'acier de 0,5 mm d'épaisseur, pour une épaisseur totale de 60 mm. Avec joints en aluminium espacés de 1 200 mm. Classement au feu B s2 d0.</t>
    </r>
  </si>
  <si>
    <r>
      <t xml:space="preserve">Panneau métallique 0,5+ laine de roche e=80mm :
</t>
    </r>
    <r>
      <rPr>
        <sz val="11"/>
        <rFont val="Calibri"/>
        <family val="2"/>
        <scheme val="minor"/>
      </rPr>
      <t>Panneau hygiénique pour salles blanches, composé d'une âme en laine de roche recouverte d'une tôle d'acier de 0,5 mm d'épaisseur, pour une épaisseur totale de 80 mm. Avec joints en aluminium espacés de 1 200 mm. Classement au feu B s2 d0.</t>
    </r>
  </si>
  <si>
    <r>
      <t xml:space="preserve">Panneau résine 3mm + PIR e=60mm
</t>
    </r>
    <r>
      <rPr>
        <sz val="11"/>
        <rFont val="Calibri"/>
        <family val="2"/>
        <scheme val="minor"/>
      </rPr>
      <t>Panneau hygiénique pour salles blanches composé d'une âme en polyisocyanurate (PIR) recouverte de deux plaques HPL de 3 mm d'épaisseur, pour une épaisseur totale de 60 mm. L'assemblage des panneaux sera réalisé au moyen d'un profilé tubulaire en aluminium dissimulé, permettant le passage des installations. Modules de 1290 mm.</t>
    </r>
  </si>
  <si>
    <t>OPTIONS (ENCEINTES VERTICALES)</t>
  </si>
  <si>
    <t>Métallique - Supplément de finition en acier inoxydable AISI 304 (pour panneau métallique)</t>
  </si>
  <si>
    <t>m2 x côté</t>
  </si>
  <si>
    <t>Métallique - Supplément de finition PET (pour panneau métallique)</t>
  </si>
  <si>
    <t>Métallique - Chapa supplémentaire 0,6mm (pour panneau métallique)</t>
  </si>
  <si>
    <t>Encadrement à 2 bords (e=60mm)</t>
  </si>
  <si>
    <t>Encadrement à 4 bords (e=60mm)</t>
  </si>
  <si>
    <t>Encadrement à 2 bords (e=80mm)</t>
  </si>
  <si>
    <t>Encadrement à 4 bords (e=80mm)</t>
  </si>
  <si>
    <t>Panneau avec cadre 2 faces, e=60mm</t>
  </si>
  <si>
    <t>Panneau avec cadre à 4 côtés, e=60mm</t>
  </si>
  <si>
    <t>Panneau avec cadre 2 faces, e=80mm</t>
  </si>
  <si>
    <t>Panneau avec cadre à 4 côtés, e=80mm</t>
  </si>
  <si>
    <t>PANNEAUX DE PLAFOND - SALLE BLANCHE</t>
  </si>
  <si>
    <r>
      <rPr>
        <b/>
        <sz val="11"/>
        <rFont val="Calibri"/>
        <family val="2"/>
        <scheme val="minor"/>
      </rPr>
      <t xml:space="preserve">Panneau métallique 0,5+ laine de roche e=80mm :
</t>
    </r>
    <r>
      <rPr>
        <sz val="11"/>
        <rFont val="Calibri"/>
        <family val="2"/>
        <scheme val="minor"/>
      </rPr>
      <t>Panneau d'hygiène modulaire en profilé aluminium, constitué d'une âme en laine de roche entre deux tôles d'acier laquées (blanches des deux côtés) de 0,5 mm d'épaisseur, pour une épaisseur totale de 80 mm. Classement au feu A s1 d0.</t>
    </r>
  </si>
  <si>
    <r>
      <rPr>
        <b/>
        <sz val="11"/>
        <rFont val="Calibri"/>
        <family val="2"/>
        <scheme val="minor"/>
      </rPr>
      <t xml:space="preserve">Panneau métallique 0,5+ laine de roche e=100mm :
</t>
    </r>
    <r>
      <rPr>
        <sz val="11"/>
        <rFont val="Calibri"/>
        <family val="2"/>
        <scheme val="minor"/>
      </rPr>
      <t>Panneau d'hygiène modulaire en profilé aluminium, constitué d'une âme en laine de roche entre deux tôles d'acier laquées (blanches des deux côtés) de 0,5 mm d'épaisseur, pour une épaisseur totale de 100 mm. Classement au feu A s1 d0.</t>
    </r>
  </si>
  <si>
    <r>
      <rPr>
        <b/>
        <sz val="11"/>
        <rFont val="Calibri"/>
        <family val="2"/>
        <scheme val="minor"/>
      </rPr>
      <t xml:space="preserve">Panneau métallique 0,5+ PIR e=40mm :
</t>
    </r>
    <r>
      <rPr>
        <sz val="11"/>
        <rFont val="Calibri"/>
        <family val="2"/>
        <scheme val="minor"/>
      </rPr>
      <t>Panneau d'hygiène modulaire avec profil en aluminium, formé d'un noyau en polyisocyanurate (PIR) entre deux feuilles d'acier laquées (blanches des deux côtés) de 0,5 mm d'épaisseur, d'une épaisseur totale de 40 mm.</t>
    </r>
  </si>
  <si>
    <r>
      <rPr>
        <b/>
        <sz val="11"/>
        <rFont val="Calibri"/>
        <family val="2"/>
        <scheme val="minor"/>
      </rPr>
      <t xml:space="preserve">Panneau métallique 0,5+ PIR e=60mm :
</t>
    </r>
    <r>
      <rPr>
        <sz val="11"/>
        <rFont val="Calibri"/>
        <family val="2"/>
        <scheme val="minor"/>
      </rPr>
      <t>Panneau d'hygiène modulaire avec profil en aluminium, formé d'un noyau en polyisocyanurate (PIR) entre deux tôles d'acier laquées (blanches des deux côtés) de 0,5 mm d'épaisseur, d'une épaisseur totale de 60 mm.</t>
    </r>
  </si>
  <si>
    <r>
      <rPr>
        <b/>
        <sz val="11"/>
        <rFont val="Calibri"/>
        <family val="2"/>
        <scheme val="minor"/>
      </rPr>
      <t xml:space="preserve">Panneau métallique 0,5+ PIR e=80mm :
</t>
    </r>
    <r>
      <rPr>
        <sz val="11"/>
        <rFont val="Calibri"/>
        <family val="2"/>
        <scheme val="minor"/>
      </rPr>
      <t>Panneau d'hygiène modulaire avec profil en aluminium, formé d'un noyau en polyisocyanurate (PIR) entre deux tôles d'acier laquées (blanches des deux côtés) de 0,5 mm d'épaisseur, d'une épaisseur totale de 80 mm.</t>
    </r>
  </si>
  <si>
    <t>OPTIONS (PANNEAUX DE PLAFOND)</t>
  </si>
  <si>
    <t>Métallique - Supplément tôle 0,6 mm (pour panneau métallique)</t>
  </si>
  <si>
    <t>PANNEAUX DE VERRE</t>
  </si>
  <si>
    <t>Panneau vitré (verre feuilleté 5+5) sans cadre</t>
  </si>
  <si>
    <t>Bord poli</t>
  </si>
  <si>
    <t>Profilé de cadre en verre 60 blanc</t>
  </si>
  <si>
    <t>Profil demi-rond L de 40</t>
  </si>
  <si>
    <t>Profil mi-rond 40</t>
  </si>
  <si>
    <t>Le verre de séparation dans les lignes de conditionnement, en verre de sécurité 5+5, d'une hauteur de 1500 mm, comprend un profil en H pour joindre les vitres et sceller les joints avec du silicone fongicide.</t>
  </si>
  <si>
    <t>PLAFOND GRILLE</t>
  </si>
  <si>
    <t xml:space="preserve"> Plafond Armstrong</t>
  </si>
  <si>
    <t>Plafond grillagé</t>
  </si>
  <si>
    <t>PROFIL ET ÉTANCHÉITÉ</t>
  </si>
  <si>
    <t xml:space="preserve"> PROFIL</t>
  </si>
  <si>
    <r>
      <t xml:space="preserve">Profilés en aluminium hygiéniques :
</t>
    </r>
    <r>
      <rPr>
        <sz val="11"/>
        <rFont val="Calibri"/>
        <family val="2"/>
        <scheme val="minor"/>
      </rPr>
      <t>Profilés hygiéniques spéciaux en aluminium laqué blanc pour salles blanches. Profilés de réglage, de fixation et de finition des joints entre les différentes cloisons et éléments qui composent l'architecture des pièces. Profilés concaves et convexes pour angles intérieurs et extérieurs, profilés d'union et de jonction entre éléments, profilés de fixation aux dalles.</t>
    </r>
  </si>
  <si>
    <t>Ensemble</t>
  </si>
  <si>
    <t>Profilé demi-rond (ensemble demi-rond + angle) aluminium + acier</t>
  </si>
  <si>
    <t>Profil demi-rond en aluminium laqué blanc</t>
  </si>
  <si>
    <t>Profilé demi-rond (angle) en acier</t>
  </si>
  <si>
    <t>Garniture d'angle intérieur</t>
  </si>
  <si>
    <t>Profilé d'angle extérieur 60 petit</t>
  </si>
  <si>
    <t>Coins extérieurs</t>
  </si>
  <si>
    <t>Profil d'articulation osseuse 60</t>
  </si>
  <si>
    <t>Profilé de fixation au sol E=60MM</t>
  </si>
  <si>
    <t>Profilé de fixation pour sol apparent laqué E=60MM</t>
  </si>
  <si>
    <t>Plateau 110 ml</t>
  </si>
  <si>
    <t>Profil 130x130</t>
  </si>
  <si>
    <t>Finition épée de porte</t>
  </si>
  <si>
    <t>Profilé de support en « L » pour plafonds</t>
  </si>
  <si>
    <t>Profilé de support en « T » pour plafonds</t>
  </si>
  <si>
    <t>Profil Omega</t>
  </si>
  <si>
    <t>Profil du syndicat Omegas</t>
  </si>
  <si>
    <t>Support de toit</t>
  </si>
  <si>
    <t>Support de toit avec tige</t>
  </si>
  <si>
    <r>
      <t xml:space="preserve">Scellé avec du silicone blanc fongicide :
</t>
    </r>
    <r>
      <rPr>
        <sz val="11"/>
        <rFont val="Calibri"/>
        <family val="2"/>
        <scheme val="minor"/>
      </rPr>
      <t>Silicone blanc fongicide très résistant pour sceller tous les joints et rencontres.</t>
    </r>
  </si>
  <si>
    <t>Fongicide au silicone blanc</t>
  </si>
  <si>
    <t>Unités</t>
  </si>
  <si>
    <t>PRIX TOTAL</t>
  </si>
  <si>
    <t>PORTES BATTANTES SIMPLES HPL</t>
  </si>
  <si>
    <t>PORTES BATTANTES HPL</t>
  </si>
  <si>
    <r>
      <rPr>
        <b/>
        <sz val="11"/>
        <rFont val="Calibri"/>
        <family val="2"/>
        <scheme val="minor"/>
      </rPr>
      <t xml:space="preserve">Porte à un vantail 700x2100mm bleue SICH
</t>
    </r>
    <r>
      <rPr>
        <sz val="11"/>
        <rFont val="Calibri"/>
        <family val="2"/>
        <scheme val="minor"/>
      </rPr>
      <t>Avec cadre périmétrique en aluminium entièrement affleurant et accessoires de montage.</t>
    </r>
  </si>
  <si>
    <r>
      <rPr>
        <b/>
        <sz val="11"/>
        <rFont val="Calibri"/>
        <family val="2"/>
        <scheme val="minor"/>
      </rPr>
      <t xml:space="preserve">Porte à un vantail 800x2100mm bleue SICH
</t>
    </r>
    <r>
      <rPr>
        <sz val="11"/>
        <rFont val="Calibri"/>
        <family val="2"/>
        <scheme val="minor"/>
      </rPr>
      <t>Avec cadre périmétrique en aluminium entièrement affleurant et accessoires de montage.</t>
    </r>
  </si>
  <si>
    <r>
      <rPr>
        <b/>
        <sz val="11"/>
        <rFont val="Calibri"/>
        <family val="2"/>
        <scheme val="minor"/>
      </rPr>
      <t xml:space="preserve">Porte à un vantail 700x2200mm bleue SICH
</t>
    </r>
    <r>
      <rPr>
        <sz val="11"/>
        <rFont val="Calibri"/>
        <family val="2"/>
        <scheme val="minor"/>
      </rPr>
      <t>Avec cadre périmétrique en aluminium entièrement affleurant et accessoires de montage.</t>
    </r>
  </si>
  <si>
    <r>
      <rPr>
        <b/>
        <sz val="11"/>
        <rFont val="Calibri"/>
        <family val="2"/>
        <scheme val="minor"/>
      </rPr>
      <t xml:space="preserve">Porte à un vantail 800x2200mm bleue SICH
</t>
    </r>
    <r>
      <rPr>
        <sz val="11"/>
        <rFont val="Calibri"/>
        <family val="2"/>
        <scheme val="minor"/>
      </rPr>
      <t>Avec cadre périmétrique en aluminium entièrement affleurant et accessoires de montage.</t>
    </r>
  </si>
  <si>
    <t>PORTE RF EI2 60 1100x2060mm</t>
  </si>
  <si>
    <t>PORTES BATTANTES DOUBLE EN HPL</t>
  </si>
  <si>
    <r>
      <rPr>
        <b/>
        <sz val="11"/>
        <rFont val="Calibri"/>
        <family val="2"/>
        <scheme val="minor"/>
      </rPr>
      <t xml:space="preserve">Porte double (800+400)x2100mm couleur bleue SICH
</t>
    </r>
    <r>
      <rPr>
        <sz val="11"/>
        <rFont val="Calibri"/>
        <family val="2"/>
        <scheme val="minor"/>
      </rPr>
      <t>Avec cadre périmétrique en aluminium entièrement affleurant et accessoires de montage.</t>
    </r>
  </si>
  <si>
    <r>
      <rPr>
        <b/>
        <sz val="11"/>
        <rFont val="Calibri"/>
        <family val="2"/>
        <scheme val="minor"/>
      </rPr>
      <t xml:space="preserve">Porte double (1000+400)x2100mm couleur bleue SICH
</t>
    </r>
    <r>
      <rPr>
        <sz val="11"/>
        <rFont val="Calibri"/>
        <family val="2"/>
        <scheme val="minor"/>
      </rPr>
      <t>Avec cadre périmétrique en aluminium entièrement affleurant et accessoires de montage.</t>
    </r>
  </si>
  <si>
    <r>
      <rPr>
        <b/>
        <sz val="11"/>
        <rFont val="Calibri"/>
        <family val="2"/>
        <scheme val="minor"/>
      </rPr>
      <t xml:space="preserve">Porte double (700+400)x2200mm couleur bleue SICH
</t>
    </r>
    <r>
      <rPr>
        <sz val="11"/>
        <rFont val="Calibri"/>
        <family val="2"/>
        <scheme val="minor"/>
      </rPr>
      <t>Avec cadre périmétrique en aluminium entièrement affleurant et accessoires de montage.</t>
    </r>
  </si>
  <si>
    <r>
      <rPr>
        <b/>
        <sz val="11"/>
        <rFont val="Calibri"/>
        <family val="2"/>
        <scheme val="minor"/>
      </rPr>
      <t xml:space="preserve">Porte double (1000+400)x2200mm couleur bleue SICH
</t>
    </r>
    <r>
      <rPr>
        <sz val="11"/>
        <rFont val="Calibri"/>
        <family val="2"/>
        <scheme val="minor"/>
      </rPr>
      <t>Avec cadre périmétrique en aluminium entièrement affleurant et accessoires de montage.</t>
    </r>
  </si>
  <si>
    <t>PORTES MÉTALLIQUES</t>
  </si>
  <si>
    <t>PORTES BATTANTES SIMPLES MÉTALLIQUES</t>
  </si>
  <si>
    <r>
      <t xml:space="preserve">Porte à un vantail 800x2100mm bleue SICH
</t>
    </r>
    <r>
      <rPr>
        <sz val="11"/>
        <rFont val="Calibri"/>
        <family val="2"/>
        <scheme val="minor"/>
      </rPr>
      <t>Avec cadre périmétrique en aluminium entièrement affleurant et accessoires de montage.</t>
    </r>
  </si>
  <si>
    <r>
      <rPr>
        <b/>
        <sz val="11"/>
        <rFont val="Calibri"/>
        <family val="2"/>
        <scheme val="minor"/>
      </rPr>
      <t xml:space="preserve">Porte à un vantail 700x2200mm bleue SICH
</t>
    </r>
    <r>
      <rPr>
        <sz val="11"/>
        <rFont val="Calibri"/>
        <family val="2"/>
        <scheme val="minor"/>
      </rPr>
      <t>Avec cadre périmétrique en aluminium entièrement affleurant et accessoires de montage</t>
    </r>
  </si>
  <si>
    <t>PORTES BATTANTES DOUBLES EN MÉTAL</t>
  </si>
  <si>
    <t>PORTES BATTANTES EN VERRE</t>
  </si>
  <si>
    <t>PORTES BATTANTES SIMPLES EN VERRE</t>
  </si>
  <si>
    <r>
      <rPr>
        <b/>
        <sz val="11"/>
        <rFont val="Calibri"/>
        <family val="2"/>
        <scheme val="minor"/>
      </rPr>
      <t xml:space="preserve">Porte à un vantail 700x2100mm avec cadre blanc
</t>
    </r>
    <r>
      <rPr>
        <sz val="11"/>
        <rFont val="Calibri"/>
        <family val="2"/>
        <scheme val="minor"/>
      </rPr>
      <t>Avec cadre périmétrique en aluminium entièrement affleurant et accessoires de montage.
Composé de verre feuilleté 3+3mm et d'une chambre à air anti-condensation.</t>
    </r>
  </si>
  <si>
    <r>
      <t xml:space="preserve">Porte à un vantail 800x2100mm avec cadre blanc
</t>
    </r>
    <r>
      <rPr>
        <sz val="11"/>
        <rFont val="Calibri"/>
        <family val="2"/>
        <scheme val="minor"/>
      </rPr>
      <t>Avec cadre périmétrique en aluminium entièrement affleurant et accessoires de montage.
Composé de verre feuilleté 3+3mm et d'une chambre à air anti-condensation.</t>
    </r>
  </si>
  <si>
    <r>
      <rPr>
        <b/>
        <sz val="11"/>
        <rFont val="Calibri"/>
        <family val="2"/>
        <scheme val="minor"/>
      </rPr>
      <t xml:space="preserve">Porte à un vantail 700x2200mm avec cadre blanc
</t>
    </r>
    <r>
      <rPr>
        <sz val="11"/>
        <rFont val="Calibri"/>
        <family val="2"/>
        <scheme val="minor"/>
      </rPr>
      <t>Avec cadre périmétrique en aluminium entièrement affleurant et accessoires de montage.
Composé de verre feuilleté 3+3mm et d'une chambre à air anti-condensation.</t>
    </r>
  </si>
  <si>
    <r>
      <rPr>
        <b/>
        <sz val="11"/>
        <rFont val="Calibri"/>
        <family val="2"/>
        <scheme val="minor"/>
      </rPr>
      <t xml:space="preserve">Porte à un vantail 800x2200mm avec cadre blanc
</t>
    </r>
    <r>
      <rPr>
        <sz val="11"/>
        <rFont val="Calibri"/>
        <family val="2"/>
        <scheme val="minor"/>
      </rPr>
      <t>Avec cadre périmétrique en aluminium entièrement affleurant et accessoires de montage.
Composé de verre feuilleté 3+3mm et d'une chambre à air anti-condensation.</t>
    </r>
  </si>
  <si>
    <t>PORTES BATTANTES À DOUBLE VERRE</t>
  </si>
  <si>
    <r>
      <rPr>
        <b/>
        <sz val="11"/>
        <rFont val="Calibri"/>
        <family val="2"/>
        <scheme val="minor"/>
      </rPr>
      <t xml:space="preserve">Porte double (800+400)x2100mm avec cadre blanc
</t>
    </r>
    <r>
      <rPr>
        <sz val="11"/>
        <rFont val="Calibri"/>
        <family val="2"/>
        <scheme val="minor"/>
      </rPr>
      <t>Avec cadre périmétrique en aluminium entièrement affleurant et accessoires de montage.</t>
    </r>
  </si>
  <si>
    <r>
      <rPr>
        <b/>
        <sz val="11"/>
        <rFont val="Calibri"/>
        <family val="2"/>
        <scheme val="minor"/>
      </rPr>
      <t xml:space="preserve">Porte double (1000+400)x2100mm avec cadre blanc
</t>
    </r>
    <r>
      <rPr>
        <sz val="11"/>
        <rFont val="Calibri"/>
        <family val="2"/>
        <scheme val="minor"/>
      </rPr>
      <t>Avec cadre périmétrique en aluminium entièrement affleurant et accessoires de montage.</t>
    </r>
  </si>
  <si>
    <t>Banc en résine - sans étagère à chaussures</t>
  </si>
  <si>
    <t>Banc en résine - avec étagère à chaussures</t>
  </si>
  <si>
    <t>BANQUES</t>
  </si>
  <si>
    <t>Ancre en PVC</t>
  </si>
  <si>
    <t>Embout en PVC</t>
  </si>
  <si>
    <t>Clip en PVC</t>
  </si>
  <si>
    <t>SLEH-PM LED PULSAR 4x17W 4000 K+SVO Jaune inactinique</t>
  </si>
  <si>
    <t>Luminaire inactinique</t>
  </si>
  <si>
    <t>Éclairage LED 4x15W avec cache luminaire 635x635mm</t>
  </si>
  <si>
    <t>Éclairage LED 2x15W avec cache luminaire 635x635mm</t>
  </si>
  <si>
    <t>Éclairage magnétique 40W4000K 625x625mm</t>
  </si>
  <si>
    <t>Parafoudre magnétique 20W4000K 325x625mm</t>
  </si>
  <si>
    <t>Kit d'éclairage d'urgence</t>
  </si>
  <si>
    <t xml:space="preserve"> Éclairage de secours</t>
  </si>
  <si>
    <t>feu ATEX</t>
  </si>
  <si>
    <t>FOUDRE</t>
  </si>
  <si>
    <t>Description de la lumière ultraviolette</t>
  </si>
  <si>
    <t>Supplément environnement biologique</t>
  </si>
  <si>
    <t>Dimensions du changement de supplément</t>
  </si>
  <si>
    <t>Coffret statique inox 600x600X600mm; assemblage inox (voir descriptif détaillé)</t>
  </si>
  <si>
    <t>Passbox résine dynamique 1200x120x1500mm; montage autonome (voir descriptif de démontage)</t>
  </si>
  <si>
    <t>Boîtier en résine statique 1000X1000X1500 ; panneau ; verrouillage, oculus</t>
  </si>
  <si>
    <t>Boîtier en résine statique 700X1000X1500 ; panneau ; verrouillage, oculus</t>
  </si>
  <si>
    <t>Coffret statique 500x500X500mm;panneau intérieur;verrouillage,oculus</t>
  </si>
  <si>
    <t>Coffret statique 500x500X500mm;panneau intérieur en acier inoxydable; verrouillage, oculus</t>
  </si>
  <si>
    <t>FENÊTRES</t>
  </si>
  <si>
    <r>
      <t xml:space="preserve">Fenêtre simple affleurante 1280x1000mm e=60mm ;
</t>
    </r>
    <r>
      <rPr>
        <sz val="11"/>
        <rFont val="Calibri"/>
        <family val="2"/>
        <scheme val="minor"/>
      </rPr>
      <t>Composé de verre double feuilleté de 4,0 mm d'épaisseur, avec une chambre à air interne et un cadre séparateur en aluminium laqué blanc, complètement étanche et pourvu de gel de silice à l'intérieur pour éviter la condensation.</t>
    </r>
  </si>
  <si>
    <r>
      <t xml:space="preserve">Fenêtre panoramique affleurante 2560x1000mm e=60mm;
</t>
    </r>
    <r>
      <rPr>
        <sz val="11"/>
        <rFont val="Calibri"/>
        <family val="2"/>
        <scheme val="minor"/>
      </rPr>
      <t>Composé de verre double feuilleté de 4,0 mm d'épaisseur, avec une chambre à air interne et un cadre séparateur en aluminium laqué blanc, complètement étanche et pourvu de gel de silice à l'intérieur pour éviter la condensation.</t>
    </r>
  </si>
  <si>
    <r>
      <t xml:space="preserve">FENÊTRE 900x900mm e=60mm; COINS ARRONDIS
</t>
    </r>
    <r>
      <rPr>
        <sz val="11"/>
        <rFont val="Calibri"/>
        <family val="2"/>
        <scheme val="minor"/>
      </rPr>
      <t>Composé de verre double feuilleté de 4,0 mm d'épaisseur, avec une chambre à air interne et un cadre séparateur en aluminium laqué blanc, complètement étanche et pourvu de gel de silice à l'intérieur pour éviter la condensation.</t>
    </r>
  </si>
  <si>
    <t>Schémas électriques</t>
  </si>
  <si>
    <t>Connexion et câblage</t>
  </si>
  <si>
    <r>
      <rPr>
        <b/>
        <sz val="11"/>
        <rFont val="Calibri"/>
        <family val="2"/>
        <scheme val="minor"/>
      </rPr>
      <t xml:space="preserve">Panneau de commande PLC. (x portes)
</t>
    </r>
    <r>
      <rPr>
        <sz val="11"/>
        <rFont val="Calibri"/>
        <family val="2"/>
        <scheme val="minor"/>
      </rPr>
      <t>Prévu pour les séquences de verrouillage requises.</t>
    </r>
  </si>
  <si>
    <r>
      <rPr>
        <b/>
        <sz val="11"/>
        <rFont val="Calibri"/>
        <family val="2"/>
        <scheme val="minor"/>
      </rPr>
      <t xml:space="preserve">Compact contrôlé
</t>
    </r>
    <r>
      <rPr>
        <sz val="11"/>
        <rFont val="Calibri"/>
        <family val="2"/>
        <scheme val="minor"/>
      </rPr>
      <t>Contrôleur compact pour verrouillage 4 portes</t>
    </r>
  </si>
  <si>
    <r>
      <rPr>
        <b/>
        <sz val="11"/>
        <rFont val="Calibri"/>
        <family val="2"/>
        <scheme val="minor"/>
      </rPr>
      <t xml:space="preserve">Compact contrôlé
</t>
    </r>
    <r>
      <rPr>
        <sz val="11"/>
        <rFont val="Calibri"/>
        <family val="2"/>
        <scheme val="minor"/>
      </rPr>
      <t>Contrôleur compact pour verrouillage 3 portes</t>
    </r>
  </si>
  <si>
    <r>
      <rPr>
        <b/>
        <sz val="11"/>
        <rFont val="Calibri"/>
        <family val="2"/>
        <scheme val="minor"/>
      </rPr>
      <t xml:space="preserve">Compact contrôlé
</t>
    </r>
    <r>
      <rPr>
        <sz val="11"/>
        <rFont val="Calibri"/>
        <family val="2"/>
        <scheme val="minor"/>
      </rPr>
      <t>Contrôleur compact pour verrouillage 2 portes</t>
    </r>
  </si>
  <si>
    <r>
      <t xml:space="preserve">Feu de circulation + verrouillage
</t>
    </r>
    <r>
      <rPr>
        <sz val="11"/>
        <rFont val="Calibri"/>
        <family val="2"/>
        <scheme val="minor"/>
      </rPr>
      <t>Interverrouillage électromécanique programmable et feu de signalisation avec clavier, signal optique et signal sonore.</t>
    </r>
  </si>
  <si>
    <r>
      <rPr>
        <b/>
        <sz val="11"/>
        <rFont val="Calibri"/>
        <family val="2"/>
        <scheme val="minor"/>
      </rPr>
      <t xml:space="preserve">Feu de circulation intégré au cadre
</t>
    </r>
    <r>
      <rPr>
        <sz val="11"/>
        <rFont val="Calibri"/>
        <family val="2"/>
        <scheme val="minor"/>
      </rPr>
      <t>Avec clavier, signal optique et sonore.</t>
    </r>
  </si>
  <si>
    <r>
      <rPr>
        <b/>
        <sz val="11"/>
        <rFont val="Calibri"/>
        <family val="2"/>
        <scheme val="minor"/>
      </rPr>
      <t>Verrouillage</t>
    </r>
    <r>
      <rPr>
        <sz val="11"/>
        <rFont val="Calibri"/>
        <family val="2"/>
        <scheme val="minor"/>
      </rPr>
      <t xml:space="preserve"> 
Verrouillage électromécanique programmable</t>
    </r>
  </si>
  <si>
    <t>KIT DE VERROUILLAGE</t>
  </si>
  <si>
    <t>PORTES COULISSANTES EN OPTION</t>
  </si>
  <si>
    <t>Automatique</t>
  </si>
  <si>
    <t>Œil (standard 663lx333h)</t>
  </si>
  <si>
    <t>Séquence de verrouillage</t>
  </si>
  <si>
    <t>Porte coulissante double en verre</t>
  </si>
  <si>
    <t>Porte coulissante double en HPL</t>
  </si>
  <si>
    <t>Porte coulissante simple HPL (AUTOMATIQUE)</t>
  </si>
  <si>
    <t>Porte coulissante simple en verre  (AUTOMATIQUE)</t>
  </si>
  <si>
    <t>PORTES COULISSANTES</t>
  </si>
  <si>
    <t>PORTES À ENROULEMENT EN OPTION</t>
  </si>
  <si>
    <t>Activation du radar</t>
  </si>
  <si>
    <t>Séquence de verrouillage de porte SAS</t>
  </si>
  <si>
    <t>Porte de laboratoire auto-réparatrice à enroulement 2500x3000 + feu tricolore</t>
  </si>
  <si>
    <t>Porte de laboratoire auto-réparatrice à enroulement 2000x3000 + feu de signalisation</t>
  </si>
  <si>
    <t>Porte de laboratoire auto-réparatrice à enroulement 2000x2500 + feu tricolore</t>
  </si>
  <si>
    <t>Porte de laboratoire auto-réparatrice à enroulement 1500x2500 + feu tricolore</t>
  </si>
  <si>
    <t>PORTES À ROULEMENT AUTOMATIQUES</t>
  </si>
  <si>
    <r>
      <rPr>
        <b/>
        <sz val="11"/>
        <rFont val="Calibri"/>
        <family val="2"/>
        <scheme val="minor"/>
      </rPr>
      <t xml:space="preserve">Bras de fermeture hydraulique
</t>
    </r>
    <r>
      <rPr>
        <sz val="11"/>
        <rFont val="Calibri"/>
        <family val="2"/>
        <scheme val="minor"/>
      </rPr>
      <t>Automatique avec système sans contact</t>
    </r>
  </si>
  <si>
    <t>Supplément pour changement de couleur</t>
  </si>
  <si>
    <t>Accessoires en acier inoxydable</t>
  </si>
  <si>
    <t>Supplément pour travaux de génie civil d'installation</t>
  </si>
  <si>
    <t>Barre de sortie de secours</t>
  </si>
  <si>
    <t>Tôle en acier inoxydable pour protection de porte (h=600MM)</t>
  </si>
  <si>
    <t>Tôle en acier inoxydable pour protection de porte (h=400MM)</t>
  </si>
  <si>
    <t>Tôle en acier inoxydable pour protection de porte (h=300MM)</t>
  </si>
  <si>
    <t>Bras hydraulique pour fermeture automatique</t>
  </si>
  <si>
    <t>Contrôle d'accès automatique empreinte digitale + carte IP65</t>
  </si>
  <si>
    <t>Contrôle d'accès automatique empreinte digitale + carte +`WIFI</t>
  </si>
  <si>
    <t>Contrôle d'accès automatique par empreinte digitale + carte</t>
  </si>
  <si>
    <t>Poignée en acier inoxydable</t>
  </si>
  <si>
    <t>Bouton piggio avec clé différente</t>
  </si>
  <si>
    <t>Bouton piggio avec la même clé</t>
  </si>
  <si>
    <t>Bouton PIGGI avec serrure</t>
  </si>
  <si>
    <t>Bouton piggio</t>
  </si>
  <si>
    <t>Bouton nova</t>
  </si>
  <si>
    <t>Bouton nova avec clé</t>
  </si>
  <si>
    <r>
      <rPr>
        <b/>
        <sz val="11"/>
        <rFont val="Calibri"/>
        <family val="2"/>
        <scheme val="minor"/>
      </rPr>
      <t xml:space="preserve">Porte battante à œillet 400x800mm - Coins arrondis
</t>
    </r>
    <r>
      <rPr>
        <sz val="11"/>
        <rFont val="Calibri"/>
        <family val="2"/>
        <scheme val="minor"/>
      </rPr>
      <t>Composé de double vitrage de 4,0 mm d'épaisseur, avec chambre à air interne et cadre de séparation en aluminium laqué blanc, complètement étanche et pourvu de gel de silice à l'intérieur pour éviter la condensation.</t>
    </r>
  </si>
  <si>
    <r>
      <rPr>
        <b/>
        <sz val="11"/>
        <rFont val="Calibri"/>
        <family val="2"/>
        <scheme val="minor"/>
      </rPr>
      <t>Œillet pour porte battante 400x800mm - Angles droits</t>
    </r>
    <r>
      <rPr>
        <sz val="11"/>
        <rFont val="Calibri"/>
        <family val="2"/>
        <scheme val="minor"/>
      </rPr>
      <t xml:space="preserve"> Composé de double vitrage de 4,0 mm d'épaisseur, avec chambre à air interne et cadre de séparation en aluminium laqué blanc, complètement étanche et pourvu de gel de silice à l'intérieur pour éviter la condensation.</t>
    </r>
  </si>
  <si>
    <t>Guillotine à double porte</t>
  </si>
  <si>
    <t>Guillotine à porte simple</t>
  </si>
  <si>
    <t>PORTES BATTANTES EN OPTION</t>
  </si>
  <si>
    <r>
      <rPr>
        <b/>
        <sz val="11"/>
        <rFont val="Calibri"/>
        <family val="2"/>
        <scheme val="minor"/>
      </rPr>
      <t>Porte double (700+400)x2200mm avec cadre de porte blanc</t>
    </r>
    <r>
      <rPr>
        <sz val="11"/>
        <rFont val="Calibri"/>
        <family val="2"/>
        <scheme val="minor"/>
      </rPr>
      <t xml:space="preserve"> 
Entièrement affleurant avec le cadre périmétrique en aluminium et les accessoires de montage.</t>
    </r>
  </si>
  <si>
    <r>
      <rPr>
        <b/>
        <sz val="11"/>
        <rFont val="Calibri"/>
        <family val="2"/>
        <scheme val="minor"/>
      </rPr>
      <t>Porte double (1000+400)x2200mm avec cadre de porte blanc</t>
    </r>
    <r>
      <rPr>
        <sz val="11"/>
        <rFont val="Calibri"/>
        <family val="2"/>
        <scheme val="minor"/>
      </rPr>
      <t xml:space="preserve"> 
Entièrement affleurant avec le cadre périmétrique en aluminium et les accessoires de montage.</t>
    </r>
  </si>
  <si>
    <r>
      <t xml:space="preserve">Protección de acero inoxidable para paneles. 
</t>
    </r>
    <r>
      <rPr>
        <sz val="11"/>
        <rFont val="Calibri"/>
        <family val="2"/>
        <scheme val="minor"/>
      </rPr>
      <t>Protección higiénica para paredes de acero inoxidable, formada por un tubo horizontal de acero inoxidable AISI-304 de 53 mm de diámetro, a una altura de 92 mm del suelo.</t>
    </r>
  </si>
  <si>
    <r>
      <rPr>
        <b/>
        <sz val="11"/>
        <rFont val="Calibri"/>
        <family val="2"/>
        <scheme val="minor"/>
      </rPr>
      <t xml:space="preserve">Protección de PVC para paneles. </t>
    </r>
    <r>
      <rPr>
        <sz val="11"/>
        <rFont val="Calibri"/>
        <family val="2"/>
        <scheme val="minor"/>
      </rPr>
      <t xml:space="preserve">
Barandilla de protección de pared de PVC para paneles verticales a prueba de golpes, en PVC de 120 mm de alto y 30 mm de espesor. 
</t>
    </r>
  </si>
  <si>
    <r>
      <rPr>
        <b/>
        <sz val="11"/>
        <rFont val="Calibri"/>
        <family val="2"/>
        <scheme val="minor"/>
      </rPr>
      <t xml:space="preserve">Protección de esquinas de acero inoxidable para paneles. </t>
    </r>
    <r>
      <rPr>
        <sz val="11"/>
        <rFont val="Calibri"/>
        <family val="2"/>
        <scheme val="minor"/>
      </rPr>
      <t xml:space="preserve">
Protección higiénica de pared de acero inoxidable, compuesta por un tubo horizontal de acero inoxidable AISI-304 de 53 mm de diámetro, a una altura de 92 mm del suelo.</t>
    </r>
  </si>
  <si>
    <r>
      <rPr>
        <b/>
        <sz val="11"/>
        <rFont val="Calibri"/>
        <family val="2"/>
        <scheme val="minor"/>
      </rPr>
      <t xml:space="preserve">Protección de pivote para puertas. 
</t>
    </r>
    <r>
      <rPr>
        <sz val="11"/>
        <rFont val="Calibri"/>
        <family val="2"/>
        <scheme val="minor"/>
      </rPr>
      <t>Protección higiénica para puertas de acero inoxidable, formada por un tubo vertical de acero inoxidable AISI-304 de 53 mm de diámetro, a una altura de 200 mm del suelo en forma de pivote.</t>
    </r>
  </si>
  <si>
    <r>
      <t xml:space="preserve">Stainless steel panel protection. 
</t>
    </r>
    <r>
      <rPr>
        <sz val="11"/>
        <rFont val="Calibri"/>
        <family val="2"/>
        <scheme val="minor"/>
      </rPr>
      <t>Hygienic stainless steel wall protection, consisting of a horizontal AISI-304 stainless steel tube with a diameter of 53 mm, at a height of 92 mm from the floor.</t>
    </r>
  </si>
  <si>
    <r>
      <rPr>
        <b/>
        <sz val="11"/>
        <rFont val="Calibri"/>
        <family val="2"/>
        <scheme val="minor"/>
      </rPr>
      <t xml:space="preserve">PVC protection for panels.
</t>
    </r>
    <r>
      <rPr>
        <sz val="11"/>
        <rFont val="Calibri"/>
        <family val="2"/>
        <scheme val="minor"/>
      </rPr>
      <t>Shock-resistant PVC wall protection guardrail for vertical panels, made of 120 mm high and 30 mm thick PVC.</t>
    </r>
  </si>
  <si>
    <r>
      <rPr>
        <b/>
        <sz val="11"/>
        <rFont val="Calibri"/>
        <family val="2"/>
        <scheme val="minor"/>
      </rPr>
      <t xml:space="preserve">Stainless steel corner protection for panels. 
</t>
    </r>
    <r>
      <rPr>
        <sz val="11"/>
        <rFont val="Calibri"/>
        <family val="2"/>
        <scheme val="minor"/>
      </rPr>
      <t>Hygienic stainless steel wall protection, consisting of a horizontal AISI-304 stainless steel tube with a diameter of 53 mm, at a height of 92 mm from the floor.</t>
    </r>
  </si>
  <si>
    <r>
      <rPr>
        <b/>
        <sz val="11"/>
        <rFont val="Calibri"/>
        <family val="2"/>
        <scheme val="minor"/>
      </rPr>
      <t xml:space="preserve">Pivot protection for doors. 
</t>
    </r>
    <r>
      <rPr>
        <sz val="11"/>
        <rFont val="Calibri"/>
        <family val="2"/>
        <scheme val="minor"/>
      </rPr>
      <t>Hygienic protection for stainless steel doors, consisting of a vertical AISI-304 stainless steel tube with a diameter of 53 mm, positioned at a height of 200 mm from the floor in the form of a pivot.</t>
    </r>
  </si>
  <si>
    <r>
      <rPr>
        <b/>
        <sz val="11"/>
        <rFont val="Calibri"/>
        <family val="2"/>
        <scheme val="minor"/>
      </rPr>
      <t>Protection en acier inoxydable pour panneaux.</t>
    </r>
    <r>
      <rPr>
        <sz val="11"/>
        <rFont val="Calibri"/>
        <family val="2"/>
        <scheme val="minor"/>
      </rPr>
      <t xml:space="preserve"> 
Protection hygiénique pour murs en acier inoxydable, composée d'un tube horizontal en acier inoxydable AISI-304 d'un diamètre de 53 mm, à une hauteur de 92 mm du sol.</t>
    </r>
  </si>
  <si>
    <r>
      <rPr>
        <b/>
        <sz val="11"/>
        <rFont val="Calibri"/>
        <family val="2"/>
        <scheme val="minor"/>
      </rPr>
      <t>Protection PVC pour panneaux.</t>
    </r>
    <r>
      <rPr>
        <sz val="11"/>
        <rFont val="Calibri"/>
        <family val="2"/>
        <scheme val="minor"/>
      </rPr>
      <t xml:space="preserve">
Garde-corps de protection murale antichoc en PVC pour panneaux verticaux, en PVC de 120 mm de hauteur et 30 mm d'épaisseur.</t>
    </r>
  </si>
  <si>
    <r>
      <rPr>
        <b/>
        <sz val="11"/>
        <rFont val="Calibri"/>
        <family val="2"/>
        <scheme val="minor"/>
      </rPr>
      <t xml:space="preserve">Protection d'angle en acier inoxydable pour panneaux. </t>
    </r>
    <r>
      <rPr>
        <sz val="11"/>
        <rFont val="Calibri"/>
        <family val="2"/>
        <scheme val="minor"/>
      </rPr>
      <t xml:space="preserve">
Protection murale hygiénique en acier inoxydable, composée d'un tube horizontal en acier inoxydable AISI-304 d'un diamètre de 53 mm, à une hauteur de 92 mm du sol.</t>
    </r>
  </si>
  <si>
    <r>
      <rPr>
        <b/>
        <sz val="11"/>
        <rFont val="Calibri"/>
        <family val="2"/>
        <scheme val="minor"/>
      </rPr>
      <t xml:space="preserve">Protection de pivot pour portes. 
</t>
    </r>
    <r>
      <rPr>
        <sz val="11"/>
        <rFont val="Calibri"/>
        <family val="2"/>
        <scheme val="minor"/>
      </rPr>
      <t>Protection hygiénique pour portes en acier inoxydable, composée d'un tube vertical en acier inoxydable AISI-304 d'un diamètre de 53 mm, à une hauteur de 200 mm du sol sous forme de pivot.</t>
    </r>
  </si>
  <si>
    <t>Color Blanco
PIRINEOS 1006</t>
  </si>
  <si>
    <t>White Color
PIRINEOS 1006</t>
  </si>
  <si>
    <t>Couleur blanche PIRINEOS 1006</t>
  </si>
  <si>
    <t>Vicente Petrosinoç</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</si>
</sst>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1">
    <numFmt numFmtId="6" formatCode="#,##0\ &quot;€&quot;;[Red]\-#,##0\ &quot;€&quot;"/>
    <numFmt numFmtId="44" formatCode="_-* #,##0.00\ &quot;€&quot;_-;\-* #,##0.00\ &quot;€&quot;_-;_-* &quot;-&quot;??\ &quot;€&quot;_-;_-@_-"/>
    <numFmt numFmtId="43" formatCode="_-* #,##0.00_-;\-* #,##0.00_-;_-* &quot;-&quot;??_-;_-@_-"/>
    <numFmt numFmtId="164" formatCode="#,##0[$€];[Red]\-#,##0[$€]"/>
    <numFmt numFmtId="165" formatCode="#,##0.00_ ;[Red]\-#,##0.00\ "/>
    <numFmt numFmtId="166" formatCode="_-* #,##0.00\ [$€-C0A]_-;\-* #,##0.00\ [$€-C0A]_-;_-* &quot;-&quot;??\ [$€-C0A]_-;_-@_-"/>
    <numFmt numFmtId="167" formatCode="#,##0_ ;[Red]\-#,##0\ "/>
    <numFmt numFmtId="168" formatCode="0.00000"/>
    <numFmt numFmtId="169" formatCode="#,##0.00\ &quot;€&quot;"/>
    <numFmt numFmtId="170" formatCode="0.0"/>
    <numFmt numFmtId="171" formatCode="_-* #,##0_-;\-* #,##0_-;_-* &quot;-&quot;??_-;_-@_-"/>
  </numFmts>
  <fonts count="80" x14ac:knownFonts="1">
    <font>
      <sz val="10"/>
      <name val="MS Sans Serif"/>
    </font>
    <font>
      <sz val="11"/>
      <color theme="1"/>
      <name val="Calibri"/>
      <family val="2"/>
      <scheme val="minor"/>
    </font>
    <font>
      <sz val="11"/>
      <color theme="1"/>
      <name val="Calibri"/>
      <family val="2"/>
      <scheme val="minor"/>
    </font>
    <font>
      <sz val="10"/>
      <name val="MS Sans Serif"/>
      <family val="2"/>
    </font>
    <font>
      <sz val="10"/>
      <name val="Arial"/>
      <family val="2"/>
    </font>
    <font>
      <sz val="8"/>
      <color indexed="81"/>
      <name val="Tahoma"/>
      <family val="2"/>
    </font>
    <font>
      <b/>
      <sz val="8"/>
      <color indexed="81"/>
      <name val="Tahoma"/>
      <family val="2"/>
    </font>
    <font>
      <sz val="11"/>
      <name val="Calibri"/>
      <family val="2"/>
      <scheme val="minor"/>
    </font>
    <font>
      <sz val="9"/>
      <color indexed="81"/>
      <name val="Tahoma"/>
      <family val="2"/>
    </font>
    <font>
      <b/>
      <sz val="9"/>
      <color indexed="81"/>
      <name val="Tahoma"/>
      <family val="2"/>
    </font>
    <font>
      <sz val="10"/>
      <name val="Arial"/>
      <family val="2"/>
    </font>
    <font>
      <b/>
      <sz val="11"/>
      <name val="Calibri"/>
      <family val="2"/>
      <scheme val="minor"/>
    </font>
    <font>
      <i/>
      <sz val="10"/>
      <name val="Arial"/>
      <family val="2"/>
    </font>
    <font>
      <b/>
      <sz val="10"/>
      <name val="Arial"/>
      <family val="2"/>
    </font>
    <font>
      <b/>
      <i/>
      <sz val="10"/>
      <color indexed="18"/>
      <name val="Arial"/>
      <family val="2"/>
    </font>
    <font>
      <sz val="10"/>
      <color theme="1" tint="0.499984740745262"/>
      <name val="Arial"/>
      <family val="2"/>
    </font>
    <font>
      <b/>
      <i/>
      <sz val="10"/>
      <name val="Arial"/>
      <family val="2"/>
    </font>
    <font>
      <i/>
      <sz val="10"/>
      <color theme="0"/>
      <name val="Arial"/>
      <family val="2"/>
    </font>
    <font>
      <i/>
      <sz val="10"/>
      <color rgb="FFFF0000"/>
      <name val="Arial"/>
      <family val="2"/>
    </font>
    <font>
      <sz val="10"/>
      <name val="MS Sans Serif"/>
    </font>
    <font>
      <sz val="8"/>
      <name val="MS Sans Serif"/>
    </font>
    <font>
      <sz val="11"/>
      <color rgb="FFFF0000"/>
      <name val="Calibri"/>
      <family val="2"/>
      <scheme val="minor"/>
    </font>
    <font>
      <b/>
      <sz val="11"/>
      <color theme="0"/>
      <name val="Calibri"/>
      <family val="2"/>
      <scheme val="minor"/>
    </font>
    <font>
      <b/>
      <sz val="11"/>
      <color theme="1" tint="0.499984740745262"/>
      <name val="Calibri"/>
      <family val="2"/>
      <scheme val="minor"/>
    </font>
    <font>
      <sz val="11"/>
      <color theme="1" tint="0.499984740745262"/>
      <name val="Calibri"/>
      <family val="2"/>
      <scheme val="minor"/>
    </font>
    <font>
      <vertAlign val="superscript"/>
      <sz val="11"/>
      <name val="Calibri"/>
      <family val="2"/>
      <scheme val="minor"/>
    </font>
    <font>
      <sz val="10"/>
      <name val="Ebrima"/>
    </font>
    <font>
      <sz val="11"/>
      <color theme="0"/>
      <name val="Calibri"/>
      <family val="2"/>
      <scheme val="minor"/>
    </font>
    <font>
      <b/>
      <sz val="18"/>
      <color theme="0"/>
      <name val="Calibri"/>
      <family val="2"/>
      <scheme val="minor"/>
    </font>
    <font>
      <b/>
      <sz val="10"/>
      <color theme="0"/>
      <name val="Calibri"/>
      <family val="2"/>
      <scheme val="minor"/>
    </font>
    <font>
      <sz val="9"/>
      <name val="Calibri"/>
      <family val="2"/>
      <scheme val="minor"/>
    </font>
    <font>
      <b/>
      <sz val="18"/>
      <color theme="8" tint="0.39997558519241921"/>
      <name val="Calibri"/>
      <family val="2"/>
      <scheme val="minor"/>
    </font>
    <font>
      <sz val="10"/>
      <name val="Calibri"/>
      <family val="2"/>
      <scheme val="minor"/>
    </font>
    <font>
      <b/>
      <sz val="10"/>
      <name val="Calibri"/>
      <family val="2"/>
      <scheme val="minor"/>
    </font>
    <font>
      <sz val="8"/>
      <name val="Calibri"/>
      <family val="2"/>
      <scheme val="minor"/>
    </font>
    <font>
      <sz val="8"/>
      <color indexed="10"/>
      <name val="Calibri"/>
      <family val="2"/>
      <scheme val="minor"/>
    </font>
    <font>
      <i/>
      <sz val="9"/>
      <color indexed="23"/>
      <name val="Calibri"/>
      <family val="2"/>
      <scheme val="minor"/>
    </font>
    <font>
      <i/>
      <sz val="9"/>
      <color indexed="10"/>
      <name val="Calibri"/>
      <family val="2"/>
      <scheme val="minor"/>
    </font>
    <font>
      <b/>
      <i/>
      <sz val="9"/>
      <color indexed="10"/>
      <name val="Calibri"/>
      <family val="2"/>
      <scheme val="minor"/>
    </font>
    <font>
      <vertAlign val="superscript"/>
      <sz val="10"/>
      <name val="Calibri"/>
      <family val="2"/>
      <scheme val="minor"/>
    </font>
    <font>
      <b/>
      <sz val="10"/>
      <color indexed="12"/>
      <name val="Calibri"/>
      <family val="2"/>
      <scheme val="minor"/>
    </font>
    <font>
      <sz val="10"/>
      <color indexed="10"/>
      <name val="Calibri"/>
      <family val="2"/>
      <scheme val="minor"/>
    </font>
    <font>
      <b/>
      <i/>
      <sz val="8"/>
      <name val="Calibri"/>
      <family val="2"/>
      <scheme val="minor"/>
    </font>
    <font>
      <i/>
      <sz val="8"/>
      <name val="Calibri"/>
      <family val="2"/>
      <scheme val="minor"/>
    </font>
    <font>
      <b/>
      <i/>
      <sz val="8"/>
      <color indexed="10"/>
      <name val="Calibri"/>
      <family val="2"/>
      <scheme val="minor"/>
    </font>
    <font>
      <i/>
      <sz val="10"/>
      <name val="Calibri"/>
      <family val="2"/>
      <scheme val="minor"/>
    </font>
    <font>
      <b/>
      <i/>
      <sz val="10"/>
      <color indexed="12"/>
      <name val="Calibri"/>
      <family val="2"/>
      <scheme val="minor"/>
    </font>
    <font>
      <sz val="12"/>
      <name val="Calibri"/>
      <family val="2"/>
      <scheme val="minor"/>
    </font>
    <font>
      <b/>
      <sz val="14"/>
      <name val="Calibri"/>
      <family val="2"/>
      <scheme val="minor"/>
    </font>
    <font>
      <sz val="10"/>
      <color theme="0"/>
      <name val="Calibri"/>
      <family val="2"/>
      <scheme val="minor"/>
    </font>
    <font>
      <b/>
      <i/>
      <sz val="10"/>
      <color theme="0" tint="-0.499984740745262"/>
      <name val="Calibri"/>
      <family val="2"/>
      <scheme val="minor"/>
    </font>
    <font>
      <b/>
      <i/>
      <sz val="9"/>
      <color indexed="23"/>
      <name val="Calibri"/>
      <family val="2"/>
      <scheme val="minor"/>
    </font>
    <font>
      <i/>
      <sz val="9"/>
      <color theme="0"/>
      <name val="Calibri"/>
      <family val="2"/>
      <scheme val="minor"/>
    </font>
    <font>
      <sz val="10"/>
      <color rgb="FFFFFFFF"/>
      <name val="Calibri"/>
      <family val="2"/>
      <scheme val="minor"/>
    </font>
    <font>
      <i/>
      <sz val="9"/>
      <color rgb="FFFFFFFF"/>
      <name val="Calibri"/>
      <family val="2"/>
      <scheme val="minor"/>
    </font>
    <font>
      <b/>
      <sz val="10"/>
      <color rgb="FFFFFFFF"/>
      <name val="Calibri"/>
      <family val="2"/>
      <scheme val="minor"/>
    </font>
    <font>
      <b/>
      <sz val="11"/>
      <color rgb="FFFFFFFF"/>
      <name val="Calibri"/>
      <family val="2"/>
      <scheme val="minor"/>
    </font>
    <font>
      <b/>
      <i/>
      <sz val="10"/>
      <color rgb="FFFFFFFF"/>
      <name val="Calibri"/>
      <family val="2"/>
      <scheme val="minor"/>
    </font>
    <font>
      <sz val="10"/>
      <name val="Arial"/>
      <family val="2"/>
    </font>
    <font>
      <sz val="11"/>
      <color theme="0" tint="-0.249977111117893"/>
      <name val="Calibri"/>
      <family val="2"/>
      <scheme val="minor"/>
    </font>
    <font>
      <b/>
      <sz val="11"/>
      <color theme="0" tint="-0.249977111117893"/>
      <name val="Calibri"/>
      <family val="2"/>
      <scheme val="minor"/>
    </font>
    <font>
      <sz val="11"/>
      <color theme="4" tint="0.59999389629810485"/>
      <name val="Calibri"/>
      <family val="2"/>
      <scheme val="minor"/>
    </font>
    <font>
      <b/>
      <sz val="12"/>
      <name val="Calibri"/>
      <family val="2"/>
      <scheme val="minor"/>
    </font>
    <font>
      <sz val="11"/>
      <color theme="8" tint="0.39997558519241921"/>
      <name val="Calibri"/>
      <family val="2"/>
      <scheme val="minor"/>
    </font>
    <font>
      <sz val="12"/>
      <color theme="8" tint="0.39997558519241921"/>
      <name val="Calibri"/>
      <family val="2"/>
      <scheme val="minor"/>
    </font>
    <font>
      <sz val="11"/>
      <color theme="4" tint="0.79998168889431442"/>
      <name val="Calibri"/>
      <family val="2"/>
      <scheme val="minor"/>
    </font>
    <font>
      <b/>
      <sz val="11"/>
      <color theme="8" tint="0.39997558519241921"/>
      <name val="Calibri"/>
      <family val="2"/>
      <scheme val="minor"/>
    </font>
    <font>
      <b/>
      <sz val="10"/>
      <color theme="0"/>
      <name val="Arial"/>
      <family val="2"/>
    </font>
    <font>
      <sz val="10"/>
      <color theme="0"/>
      <name val="Arial"/>
      <family val="2"/>
    </font>
    <font>
      <vertAlign val="superscript"/>
      <sz val="10"/>
      <name val="Arial"/>
      <family val="2"/>
    </font>
    <font>
      <sz val="10"/>
      <color rgb="FFFF0000"/>
      <name val="Arial"/>
      <family val="2"/>
    </font>
    <font>
      <b/>
      <sz val="10"/>
      <color theme="8" tint="-0.249977111117893"/>
      <name val="Arial"/>
      <family val="2"/>
    </font>
    <font>
      <sz val="10"/>
      <color theme="8" tint="-0.249977111117893"/>
      <name val="Arial"/>
      <family val="2"/>
    </font>
    <font>
      <b/>
      <sz val="11"/>
      <color theme="8" tint="-0.249977111117893"/>
      <name val="Calibri"/>
      <family val="2"/>
      <scheme val="minor"/>
    </font>
    <font>
      <b/>
      <sz val="11"/>
      <color theme="1"/>
      <name val="Calibri"/>
      <family val="2"/>
      <scheme val="minor"/>
    </font>
    <font>
      <sz val="12"/>
      <color indexed="10"/>
      <name val="Calibri"/>
      <family val="2"/>
      <scheme val="minor"/>
    </font>
    <font>
      <i/>
      <sz val="11"/>
      <color indexed="23"/>
      <name val="Calibri"/>
      <family val="2"/>
      <scheme val="minor"/>
    </font>
    <font>
      <b/>
      <sz val="9"/>
      <name val="Calibri"/>
      <family val="2"/>
      <scheme val="minor"/>
    </font>
    <font>
      <b/>
      <sz val="9"/>
      <color theme="0"/>
      <name val="Calibri"/>
      <family val="2"/>
      <scheme val="minor"/>
    </font>
    <font>
      <b/>
      <sz val="11"/>
      <color theme="4" tint="0.79998168889431442"/>
      <name val="Calibri"/>
      <family val="2"/>
      <scheme val="minor"/>
    </font>
  </fonts>
  <fills count="20">
    <fill>
      <patternFill patternType="none"/>
    </fill>
    <fill>
      <patternFill patternType="gray125"/>
    </fill>
    <fill>
      <patternFill patternType="solid">
        <fgColor indexed="43"/>
        <bgColor indexed="64"/>
      </patternFill>
    </fill>
    <fill>
      <patternFill patternType="solid">
        <fgColor theme="0"/>
        <bgColor indexed="64"/>
      </patternFill>
    </fill>
    <fill>
      <patternFill patternType="solid">
        <fgColor rgb="FFFFFF99"/>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rgb="FF002060"/>
        <bgColor indexed="64"/>
      </patternFill>
    </fill>
    <fill>
      <patternFill patternType="solid">
        <fgColor rgb="FFFFFF00"/>
        <bgColor indexed="64"/>
      </patternFill>
    </fill>
    <fill>
      <patternFill patternType="solid">
        <fgColor theme="4" tint="0.39997558519241921"/>
        <bgColor indexed="64"/>
      </patternFill>
    </fill>
    <fill>
      <patternFill patternType="solid">
        <fgColor theme="8"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theme="0" tint="-0.34998626667073579"/>
        <bgColor indexed="64"/>
      </patternFill>
    </fill>
    <fill>
      <patternFill patternType="solid">
        <fgColor rgb="FFFFFFFF"/>
        <bgColor indexed="64"/>
      </patternFill>
    </fill>
    <fill>
      <patternFill patternType="solid">
        <fgColor theme="6" tint="0.59999389629810485"/>
        <bgColor indexed="64"/>
      </patternFill>
    </fill>
    <fill>
      <patternFill patternType="solid">
        <fgColor theme="2"/>
        <bgColor indexed="64"/>
      </patternFill>
    </fill>
    <fill>
      <patternFill patternType="solid">
        <fgColor theme="6" tint="0.39997558519241921"/>
        <bgColor indexed="64"/>
      </patternFill>
    </fill>
  </fills>
  <borders count="144">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thin">
        <color theme="0" tint="-0.34998626667073579"/>
      </right>
      <top/>
      <bottom/>
      <diagonal/>
    </border>
    <border>
      <left style="thin">
        <color theme="0" tint="-0.34998626667073579"/>
      </left>
      <right/>
      <top/>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bottom/>
      <diagonal/>
    </border>
    <border>
      <left style="thin">
        <color theme="0" tint="-0.34998626667073579"/>
      </left>
      <right style="thin">
        <color theme="0" tint="-0.34998626667073579"/>
      </right>
      <top style="thin">
        <color theme="0" tint="-0.34998626667073579"/>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medium">
        <color indexed="64"/>
      </bottom>
      <diagonal/>
    </border>
    <border>
      <left/>
      <right/>
      <top style="thin">
        <color indexed="64"/>
      </top>
      <bottom/>
      <diagonal/>
    </border>
    <border>
      <left style="thin">
        <color indexed="64"/>
      </left>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theme="0" tint="-0.34998626667073579"/>
      </right>
      <top/>
      <bottom style="thin">
        <color indexed="64"/>
      </bottom>
      <diagonal/>
    </border>
    <border>
      <left style="medium">
        <color indexed="64"/>
      </left>
      <right/>
      <top/>
      <bottom style="medium">
        <color theme="0" tint="-0.499984740745262"/>
      </bottom>
      <diagonal/>
    </border>
    <border>
      <left/>
      <right/>
      <top/>
      <bottom style="medium">
        <color theme="0" tint="-0.499984740745262"/>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right style="medium">
        <color theme="0" tint="-0.499984740745262"/>
      </right>
      <top style="medium">
        <color theme="0" tint="-0.499984740745262"/>
      </top>
      <bottom/>
      <diagonal/>
    </border>
    <border>
      <left/>
      <right style="medium">
        <color theme="0" tint="-0.499984740745262"/>
      </right>
      <top/>
      <bottom/>
      <diagonal/>
    </border>
    <border>
      <left style="medium">
        <color indexed="64"/>
      </left>
      <right style="medium">
        <color theme="0" tint="-0.499984740745262"/>
      </right>
      <top style="medium">
        <color indexed="64"/>
      </top>
      <bottom style="medium">
        <color indexed="64"/>
      </bottom>
      <diagonal/>
    </border>
    <border>
      <left/>
      <right style="medium">
        <color theme="0" tint="-0.499984740745262"/>
      </right>
      <top/>
      <bottom style="medium">
        <color theme="0" tint="-0.499984740745262"/>
      </bottom>
      <diagonal/>
    </border>
    <border>
      <left style="thin">
        <color indexed="64"/>
      </left>
      <right style="medium">
        <color theme="0" tint="-0.499984740745262"/>
      </right>
      <top style="thin">
        <color indexed="64"/>
      </top>
      <bottom style="thin">
        <color indexed="64"/>
      </bottom>
      <diagonal/>
    </border>
    <border>
      <left/>
      <right style="medium">
        <color theme="0" tint="-0.34998626667073579"/>
      </right>
      <top style="thin">
        <color indexed="64"/>
      </top>
      <bottom style="thin">
        <color indexed="64"/>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thin">
        <color indexed="64"/>
      </left>
      <right style="medium">
        <color theme="0" tint="-0.34998626667073579"/>
      </right>
      <top style="medium">
        <color theme="0" tint="-0.34998626667073579"/>
      </top>
      <bottom style="medium">
        <color theme="0" tint="-0.34998626667073579"/>
      </bottom>
      <diagonal/>
    </border>
    <border>
      <left style="thin">
        <color indexed="64"/>
      </left>
      <right style="medium">
        <color theme="0" tint="-0.499984740745262"/>
      </right>
      <top style="thin">
        <color indexed="64"/>
      </top>
      <bottom/>
      <diagonal/>
    </border>
    <border>
      <left style="thin">
        <color indexed="64"/>
      </left>
      <right style="thin">
        <color indexed="64"/>
      </right>
      <top style="medium">
        <color theme="0" tint="-0.34998626667073579"/>
      </top>
      <bottom style="thin">
        <color indexed="64"/>
      </bottom>
      <diagonal/>
    </border>
    <border>
      <left style="medium">
        <color theme="0" tint="-0.34998626667073579"/>
      </left>
      <right/>
      <top style="thin">
        <color indexed="64"/>
      </top>
      <bottom style="medium">
        <color theme="0" tint="-0.34998626667073579"/>
      </bottom>
      <diagonal/>
    </border>
    <border>
      <left/>
      <right/>
      <top style="thin">
        <color indexed="64"/>
      </top>
      <bottom style="medium">
        <color theme="0" tint="-0.34998626667073579"/>
      </bottom>
      <diagonal/>
    </border>
    <border>
      <left style="thin">
        <color indexed="64"/>
      </left>
      <right style="thin">
        <color indexed="64"/>
      </right>
      <top style="thin">
        <color indexed="64"/>
      </top>
      <bottom style="medium">
        <color theme="0" tint="-0.34998626667073579"/>
      </bottom>
      <diagonal/>
    </border>
    <border>
      <left/>
      <right/>
      <top/>
      <bottom style="medium">
        <color theme="0" tint="-0.34998626667073579"/>
      </bottom>
      <diagonal/>
    </border>
    <border>
      <left style="thin">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medium">
        <color theme="0" tint="-0.34998626667073579"/>
      </bottom>
      <diagonal/>
    </border>
    <border>
      <left/>
      <right style="thin">
        <color theme="0" tint="-0.34998626667073579"/>
      </right>
      <top/>
      <bottom style="medium">
        <color theme="0" tint="-0.34998626667073579"/>
      </bottom>
      <diagonal/>
    </border>
    <border>
      <left/>
      <right style="thin">
        <color theme="0" tint="-0.34998626667073579"/>
      </right>
      <top style="medium">
        <color theme="0" tint="-0.34998626667073579"/>
      </top>
      <bottom style="thin">
        <color theme="0" tint="-0.34998626667073579"/>
      </bottom>
      <diagonal/>
    </border>
    <border>
      <left style="medium">
        <color indexed="64"/>
      </left>
      <right/>
      <top/>
      <bottom style="medium">
        <color theme="0" tint="-0.34998626667073579"/>
      </bottom>
      <diagonal/>
    </border>
    <border>
      <left/>
      <right style="medium">
        <color theme="0" tint="-0.34998626667073579"/>
      </right>
      <top style="thin">
        <color indexed="64"/>
      </top>
      <bottom style="medium">
        <color theme="0" tint="-0.34998626667073579"/>
      </bottom>
      <diagonal/>
    </border>
    <border>
      <left style="medium">
        <color theme="0" tint="-0.34998626667073579"/>
      </left>
      <right style="medium">
        <color theme="0" tint="-0.34998626667073579"/>
      </right>
      <top style="thin">
        <color auto="1"/>
      </top>
      <bottom style="medium">
        <color theme="0" tint="-0.34998626667073579"/>
      </bottom>
      <diagonal/>
    </border>
    <border>
      <left style="medium">
        <color theme="0" tint="-0.34998626667073579"/>
      </left>
      <right style="thin">
        <color auto="1"/>
      </right>
      <top style="thin">
        <color auto="1"/>
      </top>
      <bottom style="medium">
        <color theme="0" tint="-0.34998626667073579"/>
      </bottom>
      <diagonal/>
    </border>
    <border>
      <left style="thin">
        <color auto="1"/>
      </left>
      <right style="thin">
        <color theme="0" tint="-0.34998626667073579"/>
      </right>
      <top style="thin">
        <color theme="0" tint="-0.34998626667073579"/>
      </top>
      <bottom style="thin">
        <color theme="0" tint="-0.34998626667073579"/>
      </bottom>
      <diagonal/>
    </border>
    <border>
      <left style="thin">
        <color theme="0" tint="-0.34998626667073579"/>
      </left>
      <right style="thin">
        <color auto="1"/>
      </right>
      <top style="thin">
        <color theme="0" tint="-0.34998626667073579"/>
      </top>
      <bottom style="thin">
        <color theme="0" tint="-0.34998626667073579"/>
      </bottom>
      <diagonal/>
    </border>
    <border>
      <left style="thin">
        <color theme="0" tint="-0.34998626667073579"/>
      </left>
      <right style="thin">
        <color auto="1"/>
      </right>
      <top style="thin">
        <color theme="0" tint="-0.34998626667073579"/>
      </top>
      <bottom/>
      <diagonal/>
    </border>
    <border>
      <left style="thin">
        <color theme="0" tint="-0.34998626667073579"/>
      </left>
      <right style="thin">
        <color auto="1"/>
      </right>
      <top style="medium">
        <color theme="0" tint="-0.34998626667073579"/>
      </top>
      <bottom style="thin">
        <color theme="0" tint="-0.34998626667073579"/>
      </bottom>
      <diagonal/>
    </border>
    <border>
      <left style="thin">
        <color indexed="64"/>
      </left>
      <right style="thin">
        <color indexed="64"/>
      </right>
      <top style="thin">
        <color indexed="64"/>
      </top>
      <bottom style="medium">
        <color theme="0" tint="-0.499984740745262"/>
      </bottom>
      <diagonal/>
    </border>
    <border>
      <left style="medium">
        <color indexed="64"/>
      </left>
      <right/>
      <top style="medium">
        <color theme="0" tint="-0.34998626667073579"/>
      </top>
      <bottom/>
      <diagonal/>
    </border>
    <border>
      <left style="medium">
        <color theme="0" tint="-0.34998626667073579"/>
      </left>
      <right style="medium">
        <color theme="0" tint="-0.34998626667073579"/>
      </right>
      <top/>
      <bottom style="medium">
        <color theme="0" tint="-0.34998626667073579"/>
      </bottom>
      <diagonal/>
    </border>
    <border>
      <left style="medium">
        <color indexed="64"/>
      </left>
      <right/>
      <top style="medium">
        <color theme="0" tint="-0.499984740745262"/>
      </top>
      <bottom/>
      <diagonal/>
    </border>
    <border>
      <left/>
      <right/>
      <top style="medium">
        <color theme="0" tint="-0.499984740745262"/>
      </top>
      <bottom/>
      <diagonal/>
    </border>
    <border>
      <left/>
      <right style="medium">
        <color theme="0" tint="-0.499984740745262"/>
      </right>
      <top style="thin">
        <color indexed="64"/>
      </top>
      <bottom/>
      <diagonal/>
    </border>
    <border>
      <left/>
      <right style="medium">
        <color theme="0" tint="-0.34998626667073579"/>
      </right>
      <top/>
      <bottom style="medium">
        <color theme="0" tint="-0.34998626667073579"/>
      </bottom>
      <diagonal/>
    </border>
    <border>
      <left style="thin">
        <color indexed="64"/>
      </left>
      <right style="medium">
        <color theme="0" tint="-0.34998626667073579"/>
      </right>
      <top/>
      <bottom/>
      <diagonal/>
    </border>
    <border>
      <left/>
      <right/>
      <top style="thin">
        <color theme="0" tint="-0.14996795556505021"/>
      </top>
      <bottom/>
      <diagonal/>
    </border>
    <border>
      <left style="thin">
        <color theme="0" tint="-0.14996795556505021"/>
      </left>
      <right/>
      <top style="thin">
        <color theme="0" tint="-0.14996795556505021"/>
      </top>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style="thin">
        <color theme="0" tint="-0.14996795556505021"/>
      </right>
      <top style="thin">
        <color indexed="64"/>
      </top>
      <bottom/>
      <diagonal/>
    </border>
    <border>
      <left style="thin">
        <color theme="0" tint="-0.14996795556505021"/>
      </left>
      <right/>
      <top style="thin">
        <color auto="1"/>
      </top>
      <bottom style="thin">
        <color theme="0" tint="-0.14996795556505021"/>
      </bottom>
      <diagonal/>
    </border>
    <border>
      <left style="thin">
        <color theme="0" tint="-0.14996795556505021"/>
      </left>
      <right style="thin">
        <color theme="0" tint="-0.14996795556505021"/>
      </right>
      <top style="thin">
        <color auto="1"/>
      </top>
      <bottom style="thin">
        <color theme="0" tint="-0.14996795556505021"/>
      </bottom>
      <diagonal/>
    </border>
    <border>
      <left style="thin">
        <color theme="0" tint="-0.34998626667073579"/>
      </left>
      <right style="thin">
        <color theme="0" tint="-0.34998626667073579"/>
      </right>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theme="0" tint="-0.34998626667073579"/>
      </left>
      <right/>
      <top style="medium">
        <color theme="0" tint="-0.34998626667073579"/>
      </top>
      <bottom/>
      <diagonal/>
    </border>
    <border>
      <left/>
      <right style="thin">
        <color theme="0" tint="-0.34998626667073579"/>
      </right>
      <top style="medium">
        <color theme="0" tint="-0.34998626667073579"/>
      </top>
      <bottom/>
      <diagonal/>
    </border>
    <border>
      <left style="thin">
        <color auto="1"/>
      </left>
      <right/>
      <top style="medium">
        <color theme="0" tint="-0.34998626667073579"/>
      </top>
      <bottom style="thin">
        <color theme="0" tint="-0.34998626667073579"/>
      </bottom>
      <diagonal/>
    </border>
    <border>
      <left style="thin">
        <color auto="1"/>
      </left>
      <right/>
      <top style="thin">
        <color theme="0" tint="-0.34998626667073579"/>
      </top>
      <bottom style="medium">
        <color theme="0" tint="-0.34998626667073579"/>
      </bottom>
      <diagonal/>
    </border>
    <border>
      <left/>
      <right style="thin">
        <color theme="0" tint="-0.34998626667073579"/>
      </right>
      <top style="thin">
        <color theme="0" tint="-0.34998626667073579"/>
      </top>
      <bottom style="medium">
        <color theme="0" tint="-0.34998626667073579"/>
      </bottom>
      <diagonal/>
    </border>
    <border>
      <left style="thin">
        <color indexed="64"/>
      </left>
      <right/>
      <top style="thin">
        <color indexed="64"/>
      </top>
      <bottom style="medium">
        <color theme="0" tint="-0.34998626667073579"/>
      </bottom>
      <diagonal/>
    </border>
    <border>
      <left style="thick">
        <color theme="0" tint="-0.34998626667073579"/>
      </left>
      <right/>
      <top style="thick">
        <color theme="0" tint="-0.34998626667073579"/>
      </top>
      <bottom/>
      <diagonal/>
    </border>
    <border>
      <left/>
      <right/>
      <top style="thick">
        <color theme="0" tint="-0.34998626667073579"/>
      </top>
      <bottom/>
      <diagonal/>
    </border>
    <border>
      <left style="thick">
        <color theme="0" tint="-0.34998626667073579"/>
      </left>
      <right/>
      <top/>
      <bottom/>
      <diagonal/>
    </border>
    <border>
      <left style="thick">
        <color theme="0" tint="-0.34998626667073579"/>
      </left>
      <right style="thick">
        <color theme="0" tint="-0.34998626667073579"/>
      </right>
      <top style="thick">
        <color theme="0" tint="-0.34998626667073579"/>
      </top>
      <bottom/>
      <diagonal/>
    </border>
    <border>
      <left style="thick">
        <color theme="0" tint="-0.34998626667073579"/>
      </left>
      <right style="thick">
        <color theme="0" tint="-0.34998626667073579"/>
      </right>
      <top/>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right style="thick">
        <color theme="0" tint="-0.34998626667073579"/>
      </right>
      <top/>
      <bottom/>
      <diagonal/>
    </border>
    <border>
      <left style="thick">
        <color theme="0" tint="-0.34998626667073579"/>
      </left>
      <right style="thick">
        <color theme="0" tint="-0.34998626667073579"/>
      </right>
      <top/>
      <bottom style="thick">
        <color theme="0" tint="-0.34998626667073579"/>
      </bottom>
      <diagonal/>
    </border>
    <border>
      <left/>
      <right/>
      <top/>
      <bottom style="thick">
        <color theme="0" tint="-0.34998626667073579"/>
      </bottom>
      <diagonal/>
    </border>
    <border>
      <left/>
      <right style="thick">
        <color theme="0" tint="-0.34998626667073579"/>
      </right>
      <top/>
      <bottom style="thick">
        <color theme="0" tint="-0.34998626667073579"/>
      </bottom>
      <diagonal/>
    </border>
    <border>
      <left/>
      <right style="thick">
        <color theme="0" tint="-0.34998626667073579"/>
      </right>
      <top style="thick">
        <color theme="0" tint="-0.34998626667073579"/>
      </top>
      <bottom/>
      <diagonal/>
    </border>
    <border>
      <left/>
      <right/>
      <top style="medium">
        <color indexed="64"/>
      </top>
      <bottom/>
      <diagonal/>
    </border>
    <border>
      <left style="medium">
        <color theme="8" tint="-0.249977111117893"/>
      </left>
      <right style="medium">
        <color theme="8" tint="-0.249977111117893"/>
      </right>
      <top style="medium">
        <color theme="8" tint="-0.249977111117893"/>
      </top>
      <bottom style="medium">
        <color theme="8" tint="-0.249977111117893"/>
      </bottom>
      <diagonal/>
    </border>
    <border>
      <left/>
      <right style="thin">
        <color indexed="64"/>
      </right>
      <top style="medium">
        <color theme="0" tint="-0.34998626667073579"/>
      </top>
      <bottom style="thin">
        <color indexed="64"/>
      </bottom>
      <diagonal/>
    </border>
    <border>
      <left style="medium">
        <color theme="0" tint="-0.34998626667073579"/>
      </left>
      <right/>
      <top style="thin">
        <color indexed="64"/>
      </top>
      <bottom style="thin">
        <color indexed="64"/>
      </bottom>
      <diagonal/>
    </border>
    <border>
      <left/>
      <right/>
      <top style="medium">
        <color theme="0" tint="-0.34998626667073579"/>
      </top>
      <bottom/>
      <diagonal/>
    </border>
    <border>
      <left/>
      <right style="medium">
        <color theme="0" tint="-0.34998626667073579"/>
      </right>
      <top style="medium">
        <color theme="0" tint="-0.34998626667073579"/>
      </top>
      <bottom/>
      <diagonal/>
    </border>
    <border>
      <left style="medium">
        <color theme="0" tint="-0.34998626667073579"/>
      </left>
      <right/>
      <top style="medium">
        <color theme="0" tint="-0.34998626667073579"/>
      </top>
      <bottom style="thin">
        <color indexed="64"/>
      </bottom>
      <diagonal/>
    </border>
    <border>
      <left/>
      <right style="medium">
        <color theme="0" tint="-0.34998626667073579"/>
      </right>
      <top/>
      <bottom/>
      <diagonal/>
    </border>
    <border>
      <left style="medium">
        <color theme="0" tint="-0.34998626667073579"/>
      </left>
      <right style="thin">
        <color theme="0" tint="-0.14996795556505021"/>
      </right>
      <top style="thin">
        <color theme="0" tint="-0.14996795556505021"/>
      </top>
      <bottom/>
      <diagonal/>
    </border>
    <border>
      <left/>
      <right style="medium">
        <color theme="0" tint="-0.34998626667073579"/>
      </right>
      <top style="thin">
        <color theme="0" tint="-0.14996795556505021"/>
      </top>
      <bottom/>
      <diagonal/>
    </border>
    <border>
      <left style="medium">
        <color theme="0" tint="-0.34998626667073579"/>
      </left>
      <right/>
      <top/>
      <bottom/>
      <diagonal/>
    </border>
    <border>
      <left style="medium">
        <color theme="0" tint="-0.34998626667073579"/>
      </left>
      <right/>
      <top/>
      <bottom style="medium">
        <color theme="0" tint="-0.34998626667073579"/>
      </bottom>
      <diagonal/>
    </border>
    <border>
      <left style="medium">
        <color theme="0" tint="-0.34998626667073579"/>
      </left>
      <right/>
      <top style="thin">
        <color indexed="64"/>
      </top>
      <bottom/>
      <diagonal/>
    </border>
    <border>
      <left/>
      <right style="thin">
        <color indexed="64"/>
      </right>
      <top style="medium">
        <color theme="0" tint="-0.34998626667073579"/>
      </top>
      <bottom/>
      <diagonal/>
    </border>
    <border>
      <left style="thin">
        <color indexed="64"/>
      </left>
      <right style="thin">
        <color indexed="64"/>
      </right>
      <top style="medium">
        <color theme="0" tint="-0.34998626667073579"/>
      </top>
      <bottom/>
      <diagonal/>
    </border>
    <border>
      <left style="medium">
        <color theme="0" tint="-0.34998626667073579"/>
      </left>
      <right/>
      <top style="medium">
        <color theme="0" tint="-0.34998626667073579"/>
      </top>
      <bottom/>
      <diagonal/>
    </border>
    <border>
      <left style="medium">
        <color theme="0" tint="-0.34998626667073579"/>
      </left>
      <right/>
      <top/>
      <bottom style="thin">
        <color indexed="64"/>
      </bottom>
      <diagonal/>
    </border>
    <border>
      <left/>
      <right style="thin">
        <color indexed="64"/>
      </right>
      <top style="thin">
        <color indexed="64"/>
      </top>
      <bottom style="medium">
        <color theme="0" tint="-0.34998626667073579"/>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style="medium">
        <color theme="8" tint="-0.24994659260841701"/>
      </left>
      <right style="medium">
        <color theme="8" tint="-0.24994659260841701"/>
      </right>
      <top style="medium">
        <color theme="8" tint="-0.24994659260841701"/>
      </top>
      <bottom style="medium">
        <color theme="8" tint="-0.24994659260841701"/>
      </bottom>
      <diagonal/>
    </border>
    <border>
      <left style="medium">
        <color theme="8" tint="-0.24994659260841701"/>
      </left>
      <right style="medium">
        <color theme="8" tint="-0.24994659260841701"/>
      </right>
      <top style="medium">
        <color theme="8" tint="-0.24994659260841701"/>
      </top>
      <bottom/>
      <diagonal/>
    </border>
    <border>
      <left style="medium">
        <color theme="8" tint="-0.24994659260841701"/>
      </left>
      <right style="medium">
        <color theme="8" tint="-0.24994659260841701"/>
      </right>
      <top/>
      <bottom/>
      <diagonal/>
    </border>
    <border>
      <left style="thin">
        <color auto="1"/>
      </left>
      <right style="thin">
        <color theme="0" tint="-0.34998626667073579"/>
      </right>
      <top style="medium">
        <color theme="0" tint="-0.34998626667073579"/>
      </top>
      <bottom/>
      <diagonal/>
    </border>
    <border>
      <left style="thin">
        <color theme="0" tint="-0.34998626667073579"/>
      </left>
      <right style="thin">
        <color theme="0" tint="-0.34998626667073579"/>
      </right>
      <top style="medium">
        <color theme="0" tint="-0.34998626667073579"/>
      </top>
      <bottom/>
      <diagonal/>
    </border>
    <border>
      <left style="thin">
        <color indexed="64"/>
      </left>
      <right style="medium">
        <color theme="0" tint="-0.499984740745262"/>
      </right>
      <top style="thin">
        <color indexed="64"/>
      </top>
      <bottom style="medium">
        <color theme="0" tint="-0.34998626667073579"/>
      </bottom>
      <diagonal/>
    </border>
    <border>
      <left/>
      <right style="medium">
        <color theme="0" tint="-0.499984740745262"/>
      </right>
      <top style="thin">
        <color indexed="64"/>
      </top>
      <bottom style="medium">
        <color theme="0" tint="-0.34998626667073579"/>
      </bottom>
      <diagonal/>
    </border>
    <border>
      <left style="thin">
        <color indexed="64"/>
      </left>
      <right style="medium">
        <color theme="0" tint="-0.499984740745262"/>
      </right>
      <top/>
      <bottom style="thin">
        <color indexed="64"/>
      </bottom>
      <diagonal/>
    </border>
    <border>
      <left/>
      <right/>
      <top style="medium">
        <color theme="0" tint="-0.34998626667073579"/>
      </top>
      <bottom style="thin">
        <color indexed="64"/>
      </bottom>
      <diagonal/>
    </border>
    <border>
      <left/>
      <right style="medium">
        <color theme="0" tint="-0.34998626667073579"/>
      </right>
      <top style="medium">
        <color theme="0" tint="-0.34998626667073579"/>
      </top>
      <bottom style="thin">
        <color indexed="64"/>
      </bottom>
      <diagonal/>
    </border>
    <border>
      <left style="medium">
        <color theme="0" tint="-0.34998626667073579"/>
      </left>
      <right style="medium">
        <color theme="0" tint="-0.34998626667073579"/>
      </right>
      <top/>
      <bottom/>
      <diagonal/>
    </border>
    <border>
      <left style="thin">
        <color auto="1"/>
      </left>
      <right/>
      <top style="thin">
        <color theme="0" tint="-0.34998626667073579"/>
      </top>
      <bottom style="thin">
        <color auto="1"/>
      </bottom>
      <diagonal/>
    </border>
    <border>
      <left/>
      <right style="thin">
        <color theme="0" tint="-0.34998626667073579"/>
      </right>
      <top style="thin">
        <color theme="0" tint="-0.34998626667073579"/>
      </top>
      <bottom style="thin">
        <color auto="1"/>
      </bottom>
      <diagonal/>
    </border>
    <border>
      <left style="thin">
        <color theme="0" tint="-0.34998626667073579"/>
      </left>
      <right style="thin">
        <color theme="0" tint="-0.34998626667073579"/>
      </right>
      <top style="thin">
        <color theme="0" tint="-0.34998626667073579"/>
      </top>
      <bottom style="thin">
        <color auto="1"/>
      </bottom>
      <diagonal/>
    </border>
    <border>
      <left style="thin">
        <color theme="0" tint="-0.34998626667073579"/>
      </left>
      <right style="thin">
        <color indexed="64"/>
      </right>
      <top style="thin">
        <color theme="0" tint="-0.34998626667073579"/>
      </top>
      <bottom style="thin">
        <color auto="1"/>
      </bottom>
      <diagonal/>
    </border>
    <border>
      <left style="thin">
        <color indexed="64"/>
      </left>
      <right style="thin">
        <color indexed="64"/>
      </right>
      <top/>
      <bottom/>
      <diagonal/>
    </border>
    <border>
      <left style="thin">
        <color theme="0" tint="-0.34998626667073579"/>
      </left>
      <right/>
      <top style="thin">
        <color indexed="64"/>
      </top>
      <bottom style="medium">
        <color theme="0" tint="-0.34998626667073579"/>
      </bottom>
      <diagonal/>
    </border>
  </borders>
  <cellStyleXfs count="9">
    <xf numFmtId="0" fontId="0" fillId="0" borderId="0"/>
    <xf numFmtId="164" fontId="3" fillId="0" borderId="0" applyFont="0" applyFill="0" applyBorder="0" applyAlignment="0" applyProtection="0"/>
    <xf numFmtId="0" fontId="4" fillId="0" borderId="0"/>
    <xf numFmtId="164" fontId="10" fillId="0" borderId="0"/>
    <xf numFmtId="44" fontId="4" fillId="0" borderId="0" applyFont="0" applyFill="0" applyBorder="0" applyAlignment="0" applyProtection="0"/>
    <xf numFmtId="164" fontId="4" fillId="0" borderId="0"/>
    <xf numFmtId="9" fontId="19" fillId="0" borderId="0" applyFont="0" applyFill="0" applyBorder="0" applyAlignment="0" applyProtection="0"/>
    <xf numFmtId="0" fontId="58" fillId="0" borderId="0"/>
    <xf numFmtId="43" fontId="19" fillId="0" borderId="0" applyFont="0" applyFill="0" applyBorder="0" applyAlignment="0" applyProtection="0"/>
  </cellStyleXfs>
  <cellXfs count="673">
    <xf numFmtId="0" fontId="0" fillId="0" borderId="0" xfId="0"/>
    <xf numFmtId="164" fontId="12" fillId="0" borderId="10" xfId="5" applyFont="1" applyBorder="1" applyAlignment="1">
      <alignment vertical="top"/>
    </xf>
    <xf numFmtId="164" fontId="12" fillId="0" borderId="1" xfId="5" applyFont="1" applyBorder="1" applyAlignment="1">
      <alignment vertical="top" wrapText="1"/>
    </xf>
    <xf numFmtId="164" fontId="12" fillId="0" borderId="2" xfId="5" applyFont="1" applyBorder="1" applyAlignment="1">
      <alignment vertical="top" wrapText="1"/>
    </xf>
    <xf numFmtId="164" fontId="4" fillId="0" borderId="11" xfId="5" applyBorder="1" applyAlignment="1">
      <alignment vertical="top"/>
    </xf>
    <xf numFmtId="164" fontId="12" fillId="0" borderId="0" xfId="5" applyFont="1"/>
    <xf numFmtId="164" fontId="12" fillId="0" borderId="9" xfId="5" applyFont="1" applyBorder="1" applyAlignment="1">
      <alignment vertical="top"/>
    </xf>
    <xf numFmtId="164" fontId="4" fillId="0" borderId="12" xfId="5" applyBorder="1" applyAlignment="1">
      <alignment vertical="top"/>
    </xf>
    <xf numFmtId="164" fontId="12" fillId="0" borderId="13" xfId="5" applyFont="1" applyBorder="1" applyAlignment="1">
      <alignment vertical="top"/>
    </xf>
    <xf numFmtId="164" fontId="12" fillId="0" borderId="5" xfId="5" applyFont="1" applyBorder="1" applyAlignment="1">
      <alignment vertical="top" wrapText="1"/>
    </xf>
    <xf numFmtId="164" fontId="12" fillId="0" borderId="6" xfId="5" applyFont="1" applyBorder="1" applyAlignment="1">
      <alignment vertical="top" wrapText="1"/>
    </xf>
    <xf numFmtId="164" fontId="4" fillId="0" borderId="14" xfId="5" applyBorder="1" applyAlignment="1">
      <alignment vertical="top"/>
    </xf>
    <xf numFmtId="164" fontId="4" fillId="0" borderId="0" xfId="5" applyAlignment="1">
      <alignment horizontal="right" vertical="top"/>
    </xf>
    <xf numFmtId="164" fontId="4" fillId="0" borderId="0" xfId="5"/>
    <xf numFmtId="164" fontId="13" fillId="0" borderId="0" xfId="5" applyFont="1" applyAlignment="1">
      <alignment horizontal="left" wrapText="1"/>
    </xf>
    <xf numFmtId="164" fontId="14" fillId="5" borderId="8" xfId="5" applyFont="1" applyFill="1" applyBorder="1" applyAlignment="1">
      <alignment horizontal="left"/>
    </xf>
    <xf numFmtId="164" fontId="14" fillId="0" borderId="0" xfId="5" applyFont="1" applyAlignment="1">
      <alignment horizontal="left"/>
    </xf>
    <xf numFmtId="164" fontId="4" fillId="0" borderId="0" xfId="5" applyAlignment="1">
      <alignment horizontal="center"/>
    </xf>
    <xf numFmtId="0" fontId="4" fillId="2" borderId="8" xfId="2" applyFill="1" applyBorder="1" applyAlignment="1">
      <alignment horizontal="left"/>
    </xf>
    <xf numFmtId="0" fontId="15" fillId="0" borderId="0" xfId="2" applyFont="1" applyAlignment="1">
      <alignment horizontal="left"/>
    </xf>
    <xf numFmtId="4" fontId="4" fillId="0" borderId="0" xfId="5" applyNumberFormat="1" applyAlignment="1">
      <alignment horizontal="left"/>
    </xf>
    <xf numFmtId="0" fontId="4" fillId="6" borderId="8" xfId="2" applyFill="1" applyBorder="1" applyAlignment="1">
      <alignment horizontal="center"/>
    </xf>
    <xf numFmtId="164" fontId="15" fillId="0" borderId="0" xfId="5" applyFont="1"/>
    <xf numFmtId="164" fontId="12" fillId="0" borderId="0" xfId="5" applyFont="1" applyAlignment="1">
      <alignment horizontal="left" wrapText="1"/>
    </xf>
    <xf numFmtId="164" fontId="12" fillId="0" borderId="0" xfId="5" applyFont="1" applyAlignment="1">
      <alignment horizontal="left"/>
    </xf>
    <xf numFmtId="0" fontId="4" fillId="7" borderId="8" xfId="2" applyFill="1" applyBorder="1" applyAlignment="1">
      <alignment horizontal="center"/>
    </xf>
    <xf numFmtId="164" fontId="12" fillId="0" borderId="0" xfId="5" applyFont="1" applyAlignment="1">
      <alignment vertical="top"/>
    </xf>
    <xf numFmtId="164" fontId="12" fillId="0" borderId="0" xfId="5" applyFont="1" applyAlignment="1">
      <alignment vertical="top" wrapText="1"/>
    </xf>
    <xf numFmtId="164" fontId="16" fillId="0" borderId="0" xfId="5" applyFont="1"/>
    <xf numFmtId="165" fontId="4" fillId="2" borderId="8" xfId="2" applyNumberFormat="1" applyFill="1" applyBorder="1" applyAlignment="1">
      <alignment horizontal="center"/>
    </xf>
    <xf numFmtId="164" fontId="17" fillId="8" borderId="0" xfId="5" applyFont="1" applyFill="1"/>
    <xf numFmtId="164" fontId="17" fillId="8" borderId="0" xfId="5" applyFont="1" applyFill="1" applyAlignment="1">
      <alignment vertical="top" wrapText="1"/>
    </xf>
    <xf numFmtId="0" fontId="4" fillId="2" borderId="8" xfId="2" applyFill="1" applyBorder="1" applyAlignment="1">
      <alignment horizontal="center"/>
    </xf>
    <xf numFmtId="166" fontId="12" fillId="0" borderId="0" xfId="5" applyNumberFormat="1" applyFont="1" applyAlignment="1">
      <alignment vertical="top" wrapText="1"/>
    </xf>
    <xf numFmtId="164" fontId="16" fillId="0" borderId="0" xfId="5" applyFont="1" applyAlignment="1">
      <alignment vertical="top" wrapText="1"/>
    </xf>
    <xf numFmtId="166" fontId="16" fillId="0" borderId="0" xfId="5" applyNumberFormat="1" applyFont="1" applyAlignment="1">
      <alignment vertical="top" wrapText="1"/>
    </xf>
    <xf numFmtId="164" fontId="18" fillId="7" borderId="0" xfId="5" applyFont="1" applyFill="1" applyAlignment="1">
      <alignment horizontal="center" vertical="top" wrapText="1"/>
    </xf>
    <xf numFmtId="164" fontId="12" fillId="7" borderId="0" xfId="5" applyFont="1" applyFill="1" applyAlignment="1">
      <alignment vertical="top" wrapText="1"/>
    </xf>
    <xf numFmtId="167" fontId="4" fillId="6" borderId="8" xfId="2" applyNumberFormat="1" applyFill="1" applyBorder="1" applyAlignment="1">
      <alignment horizontal="center"/>
    </xf>
    <xf numFmtId="164" fontId="12" fillId="7" borderId="0" xfId="5" applyFont="1" applyFill="1" applyAlignment="1">
      <alignment horizontal="right" vertical="top" wrapText="1"/>
    </xf>
    <xf numFmtId="167" fontId="12" fillId="4" borderId="8" xfId="5" applyNumberFormat="1" applyFont="1" applyFill="1" applyBorder="1" applyAlignment="1">
      <alignment vertical="top" wrapText="1"/>
    </xf>
    <xf numFmtId="167" fontId="12" fillId="7" borderId="0" xfId="5" applyNumberFormat="1" applyFont="1" applyFill="1" applyAlignment="1">
      <alignment vertical="top" wrapText="1"/>
    </xf>
    <xf numFmtId="165" fontId="18" fillId="4" borderId="10" xfId="5" applyNumberFormat="1" applyFont="1" applyFill="1" applyBorder="1" applyAlignment="1">
      <alignment vertical="top" wrapText="1"/>
    </xf>
    <xf numFmtId="165" fontId="18" fillId="4" borderId="8" xfId="5" applyNumberFormat="1" applyFont="1" applyFill="1" applyBorder="1" applyAlignment="1">
      <alignment vertical="top" wrapText="1"/>
    </xf>
    <xf numFmtId="2" fontId="4" fillId="2" borderId="8" xfId="2" applyNumberFormat="1" applyFill="1" applyBorder="1" applyAlignment="1">
      <alignment horizontal="center"/>
    </xf>
    <xf numFmtId="0" fontId="4" fillId="5" borderId="8" xfId="5" applyNumberFormat="1" applyFill="1" applyBorder="1" applyAlignment="1">
      <alignment horizontal="left"/>
    </xf>
    <xf numFmtId="164" fontId="17" fillId="8" borderId="1" xfId="5" applyFont="1" applyFill="1" applyBorder="1"/>
    <xf numFmtId="164" fontId="17" fillId="8" borderId="2" xfId="5" applyFont="1" applyFill="1" applyBorder="1" applyAlignment="1">
      <alignment vertical="top" wrapText="1"/>
    </xf>
    <xf numFmtId="164" fontId="12" fillId="0" borderId="3" xfId="5" applyFont="1" applyBorder="1"/>
    <xf numFmtId="164" fontId="12" fillId="0" borderId="4" xfId="5" applyFont="1" applyBorder="1"/>
    <xf numFmtId="164" fontId="12" fillId="0" borderId="3" xfId="5" applyFont="1" applyBorder="1" applyAlignment="1">
      <alignment vertical="top" wrapText="1"/>
    </xf>
    <xf numFmtId="166" fontId="12" fillId="0" borderId="4" xfId="5" applyNumberFormat="1" applyFont="1" applyBorder="1" applyAlignment="1">
      <alignment vertical="top" wrapText="1"/>
    </xf>
    <xf numFmtId="164" fontId="16" fillId="0" borderId="5" xfId="5" applyFont="1" applyBorder="1" applyAlignment="1">
      <alignment vertical="top" wrapText="1"/>
    </xf>
    <xf numFmtId="166" fontId="16" fillId="0" borderId="6" xfId="5" applyNumberFormat="1" applyFont="1" applyBorder="1" applyAlignment="1">
      <alignment vertical="top" wrapText="1"/>
    </xf>
    <xf numFmtId="9" fontId="12" fillId="0" borderId="0" xfId="6" applyFont="1" applyAlignment="1">
      <alignment vertical="top"/>
    </xf>
    <xf numFmtId="0" fontId="7" fillId="0" borderId="0" xfId="0" applyFont="1"/>
    <xf numFmtId="0" fontId="22" fillId="0" borderId="0" xfId="0" applyFont="1"/>
    <xf numFmtId="4" fontId="22" fillId="0" borderId="0" xfId="0" applyNumberFormat="1" applyFont="1" applyAlignment="1">
      <alignment horizontal="center" wrapText="1"/>
    </xf>
    <xf numFmtId="4" fontId="7" fillId="0" borderId="0" xfId="0" applyNumberFormat="1" applyFont="1"/>
    <xf numFmtId="9" fontId="24" fillId="0" borderId="0" xfId="6" applyFont="1" applyAlignment="1">
      <alignment horizontal="center"/>
    </xf>
    <xf numFmtId="9" fontId="24" fillId="0" borderId="0" xfId="6" applyFont="1" applyFill="1" applyAlignment="1">
      <alignment horizontal="center"/>
    </xf>
    <xf numFmtId="4" fontId="21" fillId="0" borderId="0" xfId="0" applyNumberFormat="1" applyFont="1"/>
    <xf numFmtId="0" fontId="7" fillId="0" borderId="0" xfId="0" applyFont="1" applyAlignment="1">
      <alignment horizontal="center"/>
    </xf>
    <xf numFmtId="4" fontId="22" fillId="0" borderId="0" xfId="0" applyNumberFormat="1" applyFont="1"/>
    <xf numFmtId="0" fontId="11" fillId="5" borderId="0" xfId="0" applyFont="1" applyFill="1"/>
    <xf numFmtId="0" fontId="22" fillId="0" borderId="0" xfId="0" applyFont="1" applyAlignment="1">
      <alignment horizontal="center"/>
    </xf>
    <xf numFmtId="0" fontId="7" fillId="5" borderId="0" xfId="0" applyFont="1" applyFill="1" applyAlignment="1">
      <alignment horizontal="center"/>
    </xf>
    <xf numFmtId="0" fontId="7" fillId="0" borderId="0" xfId="2" applyFont="1" applyProtection="1">
      <protection locked="0"/>
    </xf>
    <xf numFmtId="0" fontId="26" fillId="0" borderId="0" xfId="0" applyFont="1"/>
    <xf numFmtId="9" fontId="24" fillId="0" borderId="0" xfId="6" applyFont="1" applyBorder="1" applyAlignment="1">
      <alignment horizontal="center"/>
    </xf>
    <xf numFmtId="9" fontId="23" fillId="0" borderId="0" xfId="6" applyFont="1" applyFill="1" applyBorder="1" applyAlignment="1">
      <alignment horizontal="center" wrapText="1"/>
    </xf>
    <xf numFmtId="9" fontId="24" fillId="0" borderId="0" xfId="6" applyFont="1" applyFill="1" applyBorder="1" applyAlignment="1">
      <alignment horizontal="center"/>
    </xf>
    <xf numFmtId="0" fontId="29" fillId="11" borderId="0" xfId="0" applyFont="1" applyFill="1"/>
    <xf numFmtId="0" fontId="22" fillId="11" borderId="0" xfId="0" applyFont="1" applyFill="1"/>
    <xf numFmtId="0" fontId="22" fillId="11" borderId="0" xfId="0" applyFont="1" applyFill="1" applyAlignment="1">
      <alignment horizontal="center"/>
    </xf>
    <xf numFmtId="4" fontId="22" fillId="11" borderId="0" xfId="0" applyNumberFormat="1" applyFont="1" applyFill="1"/>
    <xf numFmtId="9" fontId="22" fillId="11" borderId="0" xfId="6" applyFont="1" applyFill="1" applyBorder="1" applyAlignment="1">
      <alignment horizontal="center"/>
    </xf>
    <xf numFmtId="0" fontId="7" fillId="11" borderId="0" xfId="0" applyFont="1" applyFill="1"/>
    <xf numFmtId="0" fontId="11" fillId="14" borderId="0" xfId="0" applyFont="1" applyFill="1"/>
    <xf numFmtId="0" fontId="7" fillId="14" borderId="0" xfId="0" applyFont="1" applyFill="1" applyAlignment="1">
      <alignment horizontal="center"/>
    </xf>
    <xf numFmtId="0" fontId="7" fillId="14" borderId="0" xfId="0" applyFont="1" applyFill="1"/>
    <xf numFmtId="9" fontId="24" fillId="11" borderId="0" xfId="6" applyFont="1" applyFill="1" applyBorder="1" applyAlignment="1">
      <alignment horizontal="center"/>
    </xf>
    <xf numFmtId="0" fontId="32" fillId="0" borderId="0" xfId="2" applyFont="1"/>
    <xf numFmtId="0" fontId="32" fillId="0" borderId="21" xfId="2" applyFont="1" applyBorder="1"/>
    <xf numFmtId="0" fontId="32" fillId="0" borderId="22" xfId="2" applyFont="1" applyBorder="1"/>
    <xf numFmtId="0" fontId="32" fillId="0" borderId="23" xfId="2" applyFont="1" applyBorder="1"/>
    <xf numFmtId="0" fontId="32" fillId="0" borderId="25" xfId="2" applyFont="1" applyBorder="1" applyAlignment="1">
      <alignment horizontal="center"/>
    </xf>
    <xf numFmtId="0" fontId="32" fillId="0" borderId="7" xfId="2" applyFont="1" applyBorder="1" applyAlignment="1">
      <alignment horizontal="center"/>
    </xf>
    <xf numFmtId="0" fontId="32" fillId="0" borderId="21" xfId="2" applyFont="1" applyBorder="1" applyAlignment="1">
      <alignment horizontal="center"/>
    </xf>
    <xf numFmtId="0" fontId="32" fillId="0" borderId="28" xfId="2" applyFont="1" applyBorder="1"/>
    <xf numFmtId="0" fontId="32" fillId="0" borderId="30" xfId="2" applyFont="1" applyBorder="1"/>
    <xf numFmtId="0" fontId="32" fillId="0" borderId="0" xfId="2" applyFont="1" applyAlignment="1">
      <alignment horizontal="center"/>
    </xf>
    <xf numFmtId="0" fontId="41" fillId="0" borderId="21" xfId="2" applyFont="1" applyBorder="1"/>
    <xf numFmtId="0" fontId="32" fillId="0" borderId="0" xfId="2" applyFont="1" applyAlignment="1">
      <alignment vertical="top"/>
    </xf>
    <xf numFmtId="0" fontId="32" fillId="0" borderId="32" xfId="2" applyFont="1" applyBorder="1"/>
    <xf numFmtId="0" fontId="7" fillId="0" borderId="0" xfId="2" applyFont="1" applyAlignment="1">
      <alignment horizontal="right"/>
    </xf>
    <xf numFmtId="0" fontId="32" fillId="0" borderId="0" xfId="2" applyFont="1" applyAlignment="1">
      <alignment horizontal="left"/>
    </xf>
    <xf numFmtId="0" fontId="7" fillId="0" borderId="0" xfId="2" applyFont="1" applyAlignment="1">
      <alignment horizontal="left"/>
    </xf>
    <xf numFmtId="14" fontId="30" fillId="11" borderId="8" xfId="2" applyNumberFormat="1" applyFont="1" applyFill="1" applyBorder="1" applyAlignment="1">
      <alignment horizontal="center"/>
    </xf>
    <xf numFmtId="0" fontId="33" fillId="0" borderId="0" xfId="2" applyFont="1" applyAlignment="1">
      <alignment vertical="center"/>
    </xf>
    <xf numFmtId="0" fontId="32" fillId="0" borderId="0" xfId="2" applyFont="1" applyAlignment="1">
      <alignment vertical="center"/>
    </xf>
    <xf numFmtId="2" fontId="22" fillId="10" borderId="7" xfId="2" applyNumberFormat="1" applyFont="1" applyFill="1" applyBorder="1" applyAlignment="1">
      <alignment horizontal="center"/>
    </xf>
    <xf numFmtId="0" fontId="32" fillId="11" borderId="7" xfId="2" applyFont="1" applyFill="1" applyBorder="1" applyAlignment="1">
      <alignment horizontal="center" vertical="center"/>
    </xf>
    <xf numFmtId="0" fontId="49" fillId="10" borderId="7" xfId="2" applyFont="1" applyFill="1" applyBorder="1" applyAlignment="1">
      <alignment horizontal="center"/>
    </xf>
    <xf numFmtId="0" fontId="49" fillId="10" borderId="7" xfId="2" applyFont="1" applyFill="1" applyBorder="1" applyAlignment="1">
      <alignment horizontal="center" vertical="center"/>
    </xf>
    <xf numFmtId="0" fontId="48" fillId="12" borderId="0" xfId="0" applyFont="1" applyFill="1"/>
    <xf numFmtId="4" fontId="11" fillId="12" borderId="0" xfId="0" applyNumberFormat="1" applyFont="1" applyFill="1" applyAlignment="1">
      <alignment horizontal="center" wrapText="1"/>
    </xf>
    <xf numFmtId="0" fontId="11" fillId="12" borderId="0" xfId="0" applyFont="1" applyFill="1" applyAlignment="1">
      <alignment horizontal="center"/>
    </xf>
    <xf numFmtId="0" fontId="27" fillId="11" borderId="0" xfId="0" applyFont="1" applyFill="1" applyAlignment="1">
      <alignment horizontal="center"/>
    </xf>
    <xf numFmtId="4" fontId="27" fillId="11" borderId="0" xfId="0" applyNumberFormat="1" applyFont="1" applyFill="1"/>
    <xf numFmtId="9" fontId="27" fillId="11" borderId="0" xfId="6" applyFont="1" applyFill="1" applyBorder="1" applyAlignment="1">
      <alignment horizontal="center"/>
    </xf>
    <xf numFmtId="0" fontId="29" fillId="15" borderId="0" xfId="0" applyFont="1" applyFill="1" applyAlignment="1">
      <alignment vertical="center"/>
    </xf>
    <xf numFmtId="0" fontId="33" fillId="11" borderId="7" xfId="2" applyFont="1" applyFill="1" applyBorder="1" applyAlignment="1">
      <alignment horizontal="center"/>
    </xf>
    <xf numFmtId="0" fontId="45" fillId="0" borderId="0" xfId="2" applyFont="1"/>
    <xf numFmtId="0" fontId="45" fillId="0" borderId="0" xfId="2" applyFont="1" applyAlignment="1">
      <alignment horizontal="center" wrapText="1"/>
    </xf>
    <xf numFmtId="0" fontId="45" fillId="0" borderId="0" xfId="2" applyFont="1" applyAlignment="1">
      <alignment horizontal="center"/>
    </xf>
    <xf numFmtId="0" fontId="46" fillId="0" borderId="37" xfId="2" applyFont="1" applyBorder="1"/>
    <xf numFmtId="0" fontId="32" fillId="0" borderId="41" xfId="2" applyFont="1" applyBorder="1" applyAlignment="1">
      <alignment horizontal="left"/>
    </xf>
    <xf numFmtId="0" fontId="32" fillId="0" borderId="42" xfId="2" applyFont="1" applyBorder="1" applyAlignment="1">
      <alignment horizontal="left"/>
    </xf>
    <xf numFmtId="0" fontId="32" fillId="0" borderId="42" xfId="2" applyFont="1" applyBorder="1"/>
    <xf numFmtId="14" fontId="30" fillId="11" borderId="43" xfId="2" applyNumberFormat="1" applyFont="1" applyFill="1" applyBorder="1" applyAlignment="1">
      <alignment horizontal="center"/>
    </xf>
    <xf numFmtId="0" fontId="32" fillId="0" borderId="44" xfId="2" applyFont="1" applyBorder="1"/>
    <xf numFmtId="0" fontId="45" fillId="0" borderId="42" xfId="2" applyFont="1" applyBorder="1" applyAlignment="1">
      <alignment wrapText="1"/>
    </xf>
    <xf numFmtId="0" fontId="32" fillId="0" borderId="45" xfId="2" applyFont="1" applyBorder="1" applyAlignment="1">
      <alignment horizontal="center"/>
    </xf>
    <xf numFmtId="0" fontId="32" fillId="0" borderId="54" xfId="2" applyFont="1" applyBorder="1"/>
    <xf numFmtId="0" fontId="32" fillId="0" borderId="55" xfId="2" applyFont="1" applyBorder="1" applyAlignment="1">
      <alignment horizontal="center"/>
    </xf>
    <xf numFmtId="2" fontId="22" fillId="10" borderId="55" xfId="2" applyNumberFormat="1" applyFont="1" applyFill="1" applyBorder="1" applyAlignment="1">
      <alignment horizontal="center"/>
    </xf>
    <xf numFmtId="0" fontId="32" fillId="0" borderId="56" xfId="2" applyFont="1" applyBorder="1"/>
    <xf numFmtId="0" fontId="32" fillId="0" borderId="56" xfId="2" applyFont="1" applyBorder="1" applyAlignment="1">
      <alignment horizontal="center"/>
    </xf>
    <xf numFmtId="2" fontId="22" fillId="10" borderId="56" xfId="2" applyNumberFormat="1" applyFont="1" applyFill="1" applyBorder="1" applyAlignment="1">
      <alignment horizontal="center"/>
    </xf>
    <xf numFmtId="0" fontId="32" fillId="0" borderId="20" xfId="2" applyFont="1" applyBorder="1" applyAlignment="1">
      <alignment horizontal="center"/>
    </xf>
    <xf numFmtId="2" fontId="22" fillId="10" borderId="20" xfId="2" applyNumberFormat="1" applyFont="1" applyFill="1" applyBorder="1" applyAlignment="1">
      <alignment horizontal="center"/>
    </xf>
    <xf numFmtId="2" fontId="29" fillId="10" borderId="7" xfId="2" applyNumberFormat="1" applyFont="1" applyFill="1" applyBorder="1" applyAlignment="1">
      <alignment horizontal="center"/>
    </xf>
    <xf numFmtId="2" fontId="32" fillId="11" borderId="7" xfId="2" applyNumberFormat="1" applyFont="1" applyFill="1" applyBorder="1" applyAlignment="1">
      <alignment horizontal="center"/>
    </xf>
    <xf numFmtId="2" fontId="32" fillId="11" borderId="45" xfId="2" applyNumberFormat="1" applyFont="1" applyFill="1" applyBorder="1" applyAlignment="1">
      <alignment horizontal="center"/>
    </xf>
    <xf numFmtId="2" fontId="32" fillId="11" borderId="25" xfId="2" applyNumberFormat="1" applyFont="1" applyFill="1" applyBorder="1" applyAlignment="1">
      <alignment horizontal="center"/>
    </xf>
    <xf numFmtId="2" fontId="32" fillId="11" borderId="49" xfId="2" applyNumberFormat="1" applyFont="1" applyFill="1" applyBorder="1" applyAlignment="1">
      <alignment horizontal="center"/>
    </xf>
    <xf numFmtId="0" fontId="32" fillId="0" borderId="35" xfId="2" applyFont="1" applyBorder="1"/>
    <xf numFmtId="0" fontId="43" fillId="0" borderId="59" xfId="2" applyFont="1" applyBorder="1" applyAlignment="1">
      <alignment horizontal="right"/>
    </xf>
    <xf numFmtId="0" fontId="32" fillId="12" borderId="22" xfId="2" applyFont="1" applyFill="1" applyBorder="1"/>
    <xf numFmtId="0" fontId="37" fillId="0" borderId="0" xfId="2" applyFont="1" applyAlignment="1">
      <alignment horizontal="left"/>
    </xf>
    <xf numFmtId="0" fontId="37" fillId="0" borderId="0" xfId="2" applyFont="1" applyAlignment="1">
      <alignment horizontal="left" vertical="top"/>
    </xf>
    <xf numFmtId="0" fontId="45" fillId="0" borderId="42" xfId="2" applyFont="1" applyBorder="1" applyAlignment="1">
      <alignment horizontal="right"/>
    </xf>
    <xf numFmtId="0" fontId="32" fillId="13" borderId="63" xfId="2" applyFont="1" applyFill="1" applyBorder="1"/>
    <xf numFmtId="0" fontId="32" fillId="13" borderId="64" xfId="2" applyFont="1" applyFill="1" applyBorder="1" applyAlignment="1">
      <alignment horizontal="center"/>
    </xf>
    <xf numFmtId="0" fontId="32" fillId="0" borderId="65" xfId="2" applyFont="1" applyBorder="1"/>
    <xf numFmtId="0" fontId="45" fillId="0" borderId="68" xfId="2" applyFont="1" applyBorder="1" applyAlignment="1">
      <alignment horizontal="right"/>
    </xf>
    <xf numFmtId="2" fontId="29" fillId="10" borderId="31" xfId="2" applyNumberFormat="1" applyFont="1" applyFill="1" applyBorder="1" applyAlignment="1">
      <alignment horizontal="center"/>
    </xf>
    <xf numFmtId="2" fontId="29" fillId="10" borderId="69" xfId="2" applyNumberFormat="1" applyFont="1" applyFill="1" applyBorder="1" applyAlignment="1">
      <alignment horizontal="center"/>
    </xf>
    <xf numFmtId="0" fontId="32" fillId="11" borderId="7" xfId="2" applyFont="1" applyFill="1" applyBorder="1" applyAlignment="1">
      <alignment horizontal="center"/>
    </xf>
    <xf numFmtId="0" fontId="36" fillId="0" borderId="7" xfId="2" applyFont="1" applyBorder="1"/>
    <xf numFmtId="0" fontId="51" fillId="0" borderId="7" xfId="2" applyFont="1" applyBorder="1" applyAlignment="1">
      <alignment horizontal="left"/>
    </xf>
    <xf numFmtId="0" fontId="51" fillId="0" borderId="7" xfId="2" applyFont="1" applyBorder="1"/>
    <xf numFmtId="0" fontId="37" fillId="0" borderId="54" xfId="2" applyFont="1" applyBorder="1" applyAlignment="1">
      <alignment horizontal="left" vertical="top"/>
    </xf>
    <xf numFmtId="0" fontId="32" fillId="0" borderId="62" xfId="2" applyFont="1" applyBorder="1"/>
    <xf numFmtId="170" fontId="52" fillId="10" borderId="7" xfId="2" applyNumberFormat="1" applyFont="1" applyFill="1" applyBorder="1" applyAlignment="1">
      <alignment horizontal="center"/>
    </xf>
    <xf numFmtId="0" fontId="53" fillId="10" borderId="7" xfId="2" applyFont="1" applyFill="1" applyBorder="1" applyAlignment="1">
      <alignment horizontal="center"/>
    </xf>
    <xf numFmtId="170" fontId="54" fillId="10" borderId="7" xfId="2" applyNumberFormat="1" applyFont="1" applyFill="1" applyBorder="1" applyAlignment="1">
      <alignment horizontal="center"/>
    </xf>
    <xf numFmtId="0" fontId="55" fillId="10" borderId="7" xfId="2" applyFont="1" applyFill="1" applyBorder="1" applyAlignment="1">
      <alignment horizontal="center"/>
    </xf>
    <xf numFmtId="2" fontId="56" fillId="10" borderId="7" xfId="2" applyNumberFormat="1" applyFont="1" applyFill="1" applyBorder="1" applyAlignment="1">
      <alignment horizontal="center"/>
    </xf>
    <xf numFmtId="170" fontId="57" fillId="10" borderId="7" xfId="2" applyNumberFormat="1" applyFont="1" applyFill="1" applyBorder="1" applyAlignment="1">
      <alignment horizontal="center"/>
    </xf>
    <xf numFmtId="0" fontId="32" fillId="0" borderId="73" xfId="2" applyFont="1" applyBorder="1"/>
    <xf numFmtId="0" fontId="37" fillId="0" borderId="73" xfId="2" applyFont="1" applyBorder="1" applyAlignment="1">
      <alignment horizontal="left" vertical="top"/>
    </xf>
    <xf numFmtId="0" fontId="32" fillId="11" borderId="25" xfId="2" applyFont="1" applyFill="1" applyBorder="1" applyAlignment="1">
      <alignment horizontal="center"/>
    </xf>
    <xf numFmtId="0" fontId="32" fillId="0" borderId="41" xfId="2" applyFont="1" applyBorder="1"/>
    <xf numFmtId="0" fontId="56" fillId="10" borderId="45" xfId="2" applyFont="1" applyFill="1" applyBorder="1" applyAlignment="1">
      <alignment horizontal="center"/>
    </xf>
    <xf numFmtId="1" fontId="56" fillId="10" borderId="45" xfId="2" applyNumberFormat="1" applyFont="1" applyFill="1" applyBorder="1" applyAlignment="1">
      <alignment horizontal="center"/>
    </xf>
    <xf numFmtId="0" fontId="32" fillId="11" borderId="45" xfId="2" applyFont="1" applyFill="1" applyBorder="1" applyAlignment="1">
      <alignment horizontal="center"/>
    </xf>
    <xf numFmtId="0" fontId="32" fillId="11" borderId="53" xfId="2" applyFont="1" applyFill="1" applyBorder="1" applyAlignment="1">
      <alignment horizontal="center"/>
    </xf>
    <xf numFmtId="0" fontId="35" fillId="0" borderId="0" xfId="2" applyFont="1"/>
    <xf numFmtId="0" fontId="32" fillId="0" borderId="50" xfId="2" applyFont="1" applyBorder="1" applyAlignment="1">
      <alignment horizontal="center"/>
    </xf>
    <xf numFmtId="0" fontId="32" fillId="11" borderId="49" xfId="2" applyFont="1" applyFill="1" applyBorder="1" applyAlignment="1">
      <alignment horizontal="center"/>
    </xf>
    <xf numFmtId="0" fontId="32" fillId="0" borderId="76" xfId="2" applyFont="1" applyBorder="1"/>
    <xf numFmtId="0" fontId="32" fillId="16" borderId="0" xfId="2" applyFont="1" applyFill="1"/>
    <xf numFmtId="0" fontId="32" fillId="0" borderId="77" xfId="2" applyFont="1" applyBorder="1" applyAlignment="1">
      <alignment horizontal="center"/>
    </xf>
    <xf numFmtId="0" fontId="32" fillId="0" borderId="78" xfId="2" applyFont="1" applyBorder="1"/>
    <xf numFmtId="2" fontId="32" fillId="0" borderId="79" xfId="2" applyNumberFormat="1" applyFont="1" applyBorder="1"/>
    <xf numFmtId="2" fontId="33" fillId="0" borderId="80" xfId="2" applyNumberFormat="1" applyFont="1" applyBorder="1" applyAlignment="1">
      <alignment horizontal="center"/>
    </xf>
    <xf numFmtId="0" fontId="32" fillId="0" borderId="81" xfId="2" applyFont="1" applyBorder="1"/>
    <xf numFmtId="2" fontId="32" fillId="0" borderId="82" xfId="2" applyNumberFormat="1" applyFont="1" applyBorder="1"/>
    <xf numFmtId="0" fontId="32" fillId="0" borderId="7" xfId="2" applyFont="1" applyBorder="1"/>
    <xf numFmtId="0" fontId="32" fillId="16" borderId="21" xfId="2" applyFont="1" applyFill="1" applyBorder="1"/>
    <xf numFmtId="4" fontId="11" fillId="0" borderId="0" xfId="0" applyNumberFormat="1" applyFont="1" applyAlignment="1">
      <alignment wrapText="1"/>
    </xf>
    <xf numFmtId="4" fontId="27" fillId="0" borderId="0" xfId="0" applyNumberFormat="1" applyFont="1"/>
    <xf numFmtId="4" fontId="11" fillId="0" borderId="0" xfId="0" applyNumberFormat="1" applyFont="1" applyAlignment="1">
      <alignment horizontal="center" wrapText="1"/>
    </xf>
    <xf numFmtId="166" fontId="22" fillId="0" borderId="0" xfId="0" applyNumberFormat="1" applyFont="1"/>
    <xf numFmtId="0" fontId="7" fillId="0" borderId="0" xfId="0" applyFont="1" applyAlignment="1">
      <alignment wrapText="1"/>
    </xf>
    <xf numFmtId="2" fontId="52" fillId="10" borderId="7" xfId="2" applyNumberFormat="1" applyFont="1" applyFill="1" applyBorder="1" applyAlignment="1">
      <alignment horizontal="center"/>
    </xf>
    <xf numFmtId="4" fontId="58" fillId="0" borderId="0" xfId="7" applyNumberFormat="1"/>
    <xf numFmtId="4" fontId="7" fillId="0" borderId="7" xfId="7" applyNumberFormat="1" applyFont="1" applyBorder="1"/>
    <xf numFmtId="0" fontId="7" fillId="0" borderId="7" xfId="0" applyFont="1" applyBorder="1"/>
    <xf numFmtId="6" fontId="7" fillId="0" borderId="7" xfId="0" applyNumberFormat="1" applyFont="1" applyBorder="1"/>
    <xf numFmtId="4" fontId="7" fillId="0" borderId="84" xfId="0" applyNumberFormat="1" applyFont="1" applyBorder="1"/>
    <xf numFmtId="4" fontId="7" fillId="0" borderId="85" xfId="0" applyNumberFormat="1" applyFont="1" applyBorder="1"/>
    <xf numFmtId="4" fontId="11" fillId="12" borderId="84" xfId="0" applyNumberFormat="1" applyFont="1" applyFill="1" applyBorder="1" applyAlignment="1">
      <alignment horizontal="center" wrapText="1"/>
    </xf>
    <xf numFmtId="0" fontId="11" fillId="7" borderId="0" xfId="0" applyFont="1" applyFill="1" applyAlignment="1">
      <alignment horizontal="center" vertical="center" wrapText="1"/>
    </xf>
    <xf numFmtId="4" fontId="22" fillId="0" borderId="84" xfId="0" applyNumberFormat="1" applyFont="1" applyBorder="1" applyAlignment="1">
      <alignment horizontal="center" wrapText="1"/>
    </xf>
    <xf numFmtId="4" fontId="22" fillId="0" borderId="85" xfId="0" applyNumberFormat="1" applyFont="1" applyBorder="1" applyAlignment="1">
      <alignment horizontal="center" wrapText="1"/>
    </xf>
    <xf numFmtId="4" fontId="22" fillId="11" borderId="84" xfId="0" applyNumberFormat="1" applyFont="1" applyFill="1" applyBorder="1"/>
    <xf numFmtId="4" fontId="22" fillId="11" borderId="85" xfId="0" applyNumberFormat="1" applyFont="1" applyFill="1" applyBorder="1"/>
    <xf numFmtId="4" fontId="27" fillId="11" borderId="84" xfId="0" applyNumberFormat="1" applyFont="1" applyFill="1" applyBorder="1"/>
    <xf numFmtId="4" fontId="27" fillId="11" borderId="85" xfId="0" applyNumberFormat="1" applyFont="1" applyFill="1" applyBorder="1"/>
    <xf numFmtId="4" fontId="7" fillId="11" borderId="84" xfId="0" applyNumberFormat="1" applyFont="1" applyFill="1" applyBorder="1"/>
    <xf numFmtId="4" fontId="7" fillId="11" borderId="85" xfId="0" applyNumberFormat="1" applyFont="1" applyFill="1" applyBorder="1"/>
    <xf numFmtId="4" fontId="21" fillId="0" borderId="84" xfId="0" applyNumberFormat="1" applyFont="1" applyBorder="1"/>
    <xf numFmtId="4" fontId="22" fillId="0" borderId="84" xfId="0" applyNumberFormat="1" applyFont="1" applyBorder="1"/>
    <xf numFmtId="4" fontId="22" fillId="0" borderId="85" xfId="0" applyNumberFormat="1" applyFont="1" applyBorder="1"/>
    <xf numFmtId="2" fontId="11" fillId="13" borderId="29" xfId="0" applyNumberFormat="1" applyFont="1" applyFill="1" applyBorder="1" applyAlignment="1">
      <alignment horizontal="center" vertical="center"/>
    </xf>
    <xf numFmtId="9" fontId="11" fillId="13" borderId="26" xfId="0" applyNumberFormat="1" applyFont="1" applyFill="1" applyBorder="1" applyAlignment="1">
      <alignment horizontal="center" vertical="center" wrapText="1"/>
    </xf>
    <xf numFmtId="9" fontId="23" fillId="7" borderId="84" xfId="6" applyFont="1" applyFill="1" applyBorder="1" applyAlignment="1">
      <alignment horizontal="center" vertical="center" wrapText="1"/>
    </xf>
    <xf numFmtId="4" fontId="11" fillId="12" borderId="85" xfId="0" applyNumberFormat="1" applyFont="1" applyFill="1" applyBorder="1" applyAlignment="1">
      <alignment horizontal="center" vertical="center" wrapText="1"/>
    </xf>
    <xf numFmtId="9" fontId="23" fillId="0" borderId="84" xfId="6" applyFont="1" applyFill="1" applyBorder="1" applyAlignment="1">
      <alignment horizontal="center" wrapText="1"/>
    </xf>
    <xf numFmtId="9" fontId="22" fillId="11" borderId="84" xfId="6" applyFont="1" applyFill="1" applyBorder="1" applyAlignment="1">
      <alignment horizontal="center"/>
    </xf>
    <xf numFmtId="9" fontId="24" fillId="0" borderId="84" xfId="6" applyFont="1" applyBorder="1" applyAlignment="1">
      <alignment horizontal="center"/>
    </xf>
    <xf numFmtId="9" fontId="24" fillId="0" borderId="84" xfId="6" applyFont="1" applyFill="1" applyBorder="1" applyAlignment="1">
      <alignment horizontal="center"/>
    </xf>
    <xf numFmtId="2" fontId="7" fillId="0" borderId="85" xfId="0" applyNumberFormat="1" applyFont="1" applyBorder="1"/>
    <xf numFmtId="9" fontId="27" fillId="11" borderId="84" xfId="6" applyFont="1" applyFill="1" applyBorder="1" applyAlignment="1">
      <alignment horizontal="center"/>
    </xf>
    <xf numFmtId="9" fontId="24" fillId="11" borderId="84" xfId="6" applyFont="1" applyFill="1" applyBorder="1" applyAlignment="1">
      <alignment horizontal="center"/>
    </xf>
    <xf numFmtId="166" fontId="22" fillId="11" borderId="84" xfId="0" applyNumberFormat="1" applyFont="1" applyFill="1" applyBorder="1"/>
    <xf numFmtId="166" fontId="22" fillId="0" borderId="84" xfId="0" applyNumberFormat="1" applyFont="1" applyBorder="1"/>
    <xf numFmtId="0" fontId="32" fillId="13" borderId="63" xfId="2" applyFont="1" applyFill="1" applyBorder="1" applyAlignment="1">
      <alignment horizontal="center"/>
    </xf>
    <xf numFmtId="2" fontId="59" fillId="0" borderId="0" xfId="6" applyNumberFormat="1" applyFont="1" applyBorder="1" applyAlignment="1">
      <alignment horizontal="center"/>
    </xf>
    <xf numFmtId="9" fontId="60" fillId="7" borderId="0" xfId="6" applyFont="1" applyFill="1" applyBorder="1" applyAlignment="1">
      <alignment horizontal="center" vertical="center" wrapText="1"/>
    </xf>
    <xf numFmtId="169" fontId="7" fillId="0" borderId="85" xfId="0" applyNumberFormat="1" applyFont="1" applyBorder="1"/>
    <xf numFmtId="4" fontId="7" fillId="0" borderId="0" xfId="0" applyNumberFormat="1" applyFont="1" applyAlignment="1">
      <alignment vertical="center"/>
    </xf>
    <xf numFmtId="0" fontId="7" fillId="0" borderId="0" xfId="0" applyFont="1" applyAlignment="1">
      <alignment horizontal="center" vertical="center"/>
    </xf>
    <xf numFmtId="0" fontId="28" fillId="11" borderId="0" xfId="0" applyFont="1" applyFill="1" applyAlignment="1">
      <alignment horizontal="center" vertical="center" wrapText="1"/>
    </xf>
    <xf numFmtId="169" fontId="32" fillId="3" borderId="45" xfId="2" applyNumberFormat="1" applyFont="1" applyFill="1" applyBorder="1" applyAlignment="1">
      <alignment horizontal="center"/>
    </xf>
    <xf numFmtId="0" fontId="7" fillId="0" borderId="0" xfId="0" applyFont="1" applyAlignment="1">
      <alignment horizontal="center" vertical="center" wrapText="1"/>
    </xf>
    <xf numFmtId="0" fontId="7" fillId="0" borderId="0" xfId="0" applyFont="1" applyAlignment="1">
      <alignment vertical="center"/>
    </xf>
    <xf numFmtId="0" fontId="7" fillId="12" borderId="97" xfId="0" applyFont="1" applyFill="1" applyBorder="1" applyAlignment="1">
      <alignment horizontal="center"/>
    </xf>
    <xf numFmtId="0" fontId="7" fillId="12" borderId="97" xfId="0" applyFont="1" applyFill="1" applyBorder="1" applyAlignment="1">
      <alignment horizontal="center" vertical="center"/>
    </xf>
    <xf numFmtId="0" fontId="48" fillId="15" borderId="93" xfId="0" applyFont="1" applyFill="1" applyBorder="1" applyAlignment="1">
      <alignment horizontal="center" vertical="center"/>
    </xf>
    <xf numFmtId="0" fontId="62" fillId="12" borderId="96" xfId="0" applyFont="1" applyFill="1" applyBorder="1" applyAlignment="1">
      <alignment horizontal="center" vertical="center"/>
    </xf>
    <xf numFmtId="0" fontId="49" fillId="10" borderId="7" xfId="2" applyFont="1" applyFill="1" applyBorder="1" applyAlignment="1">
      <alignment horizontal="center" vertical="center" wrapText="1"/>
    </xf>
    <xf numFmtId="0" fontId="7" fillId="0" borderId="0" xfId="0" applyFont="1" applyAlignment="1">
      <alignment vertical="center" wrapText="1"/>
    </xf>
    <xf numFmtId="0" fontId="7" fillId="0" borderId="0" xfId="0" applyFont="1" applyAlignment="1">
      <alignment horizontal="left" vertical="center" wrapText="1"/>
    </xf>
    <xf numFmtId="0" fontId="7" fillId="0" borderId="98" xfId="0" applyFont="1" applyBorder="1" applyAlignment="1">
      <alignment horizontal="center" vertical="center"/>
    </xf>
    <xf numFmtId="0" fontId="7" fillId="0" borderId="99" xfId="0" applyFont="1" applyBorder="1" applyAlignment="1">
      <alignment horizontal="center" vertical="center"/>
    </xf>
    <xf numFmtId="0" fontId="7" fillId="0" borderId="100" xfId="0" applyFont="1" applyBorder="1" applyAlignment="1">
      <alignment horizontal="center" wrapText="1"/>
    </xf>
    <xf numFmtId="0" fontId="7" fillId="0" borderId="100" xfId="0" applyFont="1" applyBorder="1" applyAlignment="1">
      <alignment horizontal="center" vertical="center" wrapText="1"/>
    </xf>
    <xf numFmtId="9" fontId="23" fillId="0" borderId="84" xfId="6" applyFont="1" applyFill="1" applyBorder="1" applyAlignment="1">
      <alignment horizontal="center" vertical="center" wrapText="1"/>
    </xf>
    <xf numFmtId="166" fontId="7" fillId="0" borderId="0" xfId="0" applyNumberFormat="1" applyFont="1"/>
    <xf numFmtId="168" fontId="7" fillId="0" borderId="0" xfId="6" applyNumberFormat="1" applyFont="1" applyFill="1"/>
    <xf numFmtId="0" fontId="11" fillId="0" borderId="0" xfId="0" applyFont="1" applyAlignment="1">
      <alignment vertical="center" wrapText="1"/>
    </xf>
    <xf numFmtId="4" fontId="22" fillId="0" borderId="101" xfId="0" applyNumberFormat="1" applyFont="1" applyBorder="1" applyAlignment="1">
      <alignment horizontal="center" wrapText="1"/>
    </xf>
    <xf numFmtId="0" fontId="7" fillId="0" borderId="94" xfId="0" applyFont="1" applyBorder="1"/>
    <xf numFmtId="0" fontId="7" fillId="0" borderId="94" xfId="0" applyFont="1" applyBorder="1" applyAlignment="1">
      <alignment horizontal="center"/>
    </xf>
    <xf numFmtId="169" fontId="11" fillId="11" borderId="101" xfId="0" applyNumberFormat="1" applyFont="1" applyFill="1" applyBorder="1" applyAlignment="1">
      <alignment horizontal="center" vertical="center"/>
    </xf>
    <xf numFmtId="0" fontId="7" fillId="11" borderId="0" xfId="0" applyFont="1" applyFill="1" applyAlignment="1">
      <alignment horizontal="center" vertical="center"/>
    </xf>
    <xf numFmtId="0" fontId="62" fillId="11" borderId="97" xfId="0" applyFont="1" applyFill="1" applyBorder="1" applyAlignment="1">
      <alignment horizontal="center" vertical="center"/>
    </xf>
    <xf numFmtId="0" fontId="62" fillId="11" borderId="0" xfId="0" applyFont="1" applyFill="1" applyAlignment="1">
      <alignment vertical="center"/>
    </xf>
    <xf numFmtId="0" fontId="62" fillId="11" borderId="0" xfId="0" applyFont="1" applyFill="1" applyAlignment="1">
      <alignment horizontal="center" vertical="center"/>
    </xf>
    <xf numFmtId="169" fontId="62" fillId="11" borderId="101" xfId="0" applyNumberFormat="1" applyFont="1" applyFill="1" applyBorder="1" applyAlignment="1">
      <alignment horizontal="center" vertical="center"/>
    </xf>
    <xf numFmtId="0" fontId="47" fillId="11" borderId="0" xfId="0" applyFont="1" applyFill="1" applyAlignment="1">
      <alignment horizontal="center" vertical="center"/>
    </xf>
    <xf numFmtId="0" fontId="7" fillId="12" borderId="102" xfId="0" applyFont="1" applyFill="1" applyBorder="1" applyAlignment="1">
      <alignment horizontal="center"/>
    </xf>
    <xf numFmtId="0" fontId="27" fillId="0" borderId="94" xfId="0" applyFont="1" applyBorder="1"/>
    <xf numFmtId="0" fontId="22" fillId="0" borderId="0" xfId="0" applyFont="1" applyAlignment="1">
      <alignment horizontal="center" vertical="center"/>
    </xf>
    <xf numFmtId="0" fontId="7" fillId="14" borderId="0" xfId="0" applyFont="1" applyFill="1" applyAlignment="1">
      <alignment horizontal="center" vertical="center"/>
    </xf>
    <xf numFmtId="0" fontId="7" fillId="5" borderId="0" xfId="0" applyFont="1" applyFill="1" applyAlignment="1">
      <alignment horizontal="center" vertical="center"/>
    </xf>
    <xf numFmtId="0" fontId="22" fillId="0" borderId="0" xfId="0" applyFont="1" applyAlignment="1">
      <alignment vertical="center"/>
    </xf>
    <xf numFmtId="0" fontId="22" fillId="11" borderId="0" xfId="0" applyFont="1" applyFill="1" applyAlignment="1">
      <alignment horizontal="center" vertical="center"/>
    </xf>
    <xf numFmtId="0" fontId="7" fillId="5" borderId="0" xfId="0" applyFont="1" applyFill="1" applyAlignment="1">
      <alignment vertical="center"/>
    </xf>
    <xf numFmtId="0" fontId="7" fillId="0" borderId="103" xfId="0" applyFont="1" applyBorder="1" applyAlignment="1">
      <alignment horizontal="center" vertical="center"/>
    </xf>
    <xf numFmtId="0" fontId="22" fillId="0" borderId="0" xfId="0" applyFont="1" applyAlignment="1">
      <alignment horizontal="right" vertical="center"/>
    </xf>
    <xf numFmtId="0" fontId="11" fillId="14" borderId="0" xfId="0" applyFont="1" applyFill="1" applyAlignment="1">
      <alignment horizontal="center" vertical="center"/>
    </xf>
    <xf numFmtId="0" fontId="64" fillId="11" borderId="0" xfId="0" applyFont="1" applyFill="1" applyAlignment="1">
      <alignment horizontal="right" vertical="center"/>
    </xf>
    <xf numFmtId="0" fontId="64" fillId="11" borderId="0" xfId="0" applyFont="1" applyFill="1" applyAlignment="1">
      <alignment horizontal="center" vertical="center"/>
    </xf>
    <xf numFmtId="2" fontId="7" fillId="0" borderId="0" xfId="0" applyNumberFormat="1" applyFont="1" applyAlignment="1">
      <alignment horizontal="center" vertical="center"/>
    </xf>
    <xf numFmtId="0" fontId="61" fillId="14" borderId="0" xfId="0" applyFont="1" applyFill="1" applyAlignment="1">
      <alignment horizontal="right" vertical="center"/>
    </xf>
    <xf numFmtId="4" fontId="7" fillId="0" borderId="0" xfId="0" applyNumberFormat="1" applyFont="1" applyAlignment="1">
      <alignment horizontal="center" vertical="center"/>
    </xf>
    <xf numFmtId="4" fontId="47" fillId="11" borderId="0" xfId="0" applyNumberFormat="1" applyFont="1" applyFill="1" applyAlignment="1">
      <alignment horizontal="center" vertical="center"/>
    </xf>
    <xf numFmtId="169" fontId="7" fillId="0" borderId="0" xfId="0" applyNumberFormat="1" applyFont="1" applyAlignment="1">
      <alignment horizontal="center" vertical="center"/>
    </xf>
    <xf numFmtId="169" fontId="47" fillId="11" borderId="0" xfId="0" applyNumberFormat="1" applyFont="1" applyFill="1" applyAlignment="1">
      <alignment horizontal="center" vertical="center"/>
    </xf>
    <xf numFmtId="169" fontId="7" fillId="14" borderId="0" xfId="0" applyNumberFormat="1" applyFont="1" applyFill="1" applyAlignment="1">
      <alignment horizontal="center" vertical="center"/>
    </xf>
    <xf numFmtId="169" fontId="22" fillId="11" borderId="0" xfId="0" applyNumberFormat="1" applyFont="1" applyFill="1" applyAlignment="1">
      <alignment horizontal="center" vertical="center"/>
    </xf>
    <xf numFmtId="169" fontId="22" fillId="0" borderId="0" xfId="0" applyNumberFormat="1" applyFont="1" applyAlignment="1">
      <alignment horizontal="center" vertical="center" wrapText="1"/>
    </xf>
    <xf numFmtId="169" fontId="7" fillId="5" borderId="0" xfId="0" applyNumberFormat="1" applyFont="1" applyFill="1" applyAlignment="1">
      <alignment horizontal="center" vertical="center"/>
    </xf>
    <xf numFmtId="0" fontId="7" fillId="14" borderId="0" xfId="0" applyFont="1" applyFill="1" applyAlignment="1">
      <alignment vertical="center"/>
    </xf>
    <xf numFmtId="4" fontId="7" fillId="14" borderId="0" xfId="0" applyNumberFormat="1" applyFont="1" applyFill="1" applyAlignment="1">
      <alignment horizontal="center" vertical="center"/>
    </xf>
    <xf numFmtId="4" fontId="22" fillId="0" borderId="101" xfId="0" applyNumberFormat="1" applyFont="1" applyBorder="1" applyAlignment="1">
      <alignment horizontal="center" vertical="center" wrapText="1"/>
    </xf>
    <xf numFmtId="0" fontId="7" fillId="0" borderId="0" xfId="2" applyFont="1" applyAlignment="1" applyProtection="1">
      <alignment vertical="center"/>
      <protection locked="0"/>
    </xf>
    <xf numFmtId="4" fontId="22" fillId="0" borderId="0" xfId="0" applyNumberFormat="1" applyFont="1" applyAlignment="1">
      <alignment horizontal="center" vertical="center" wrapText="1"/>
    </xf>
    <xf numFmtId="0" fontId="7" fillId="0" borderId="103" xfId="0" applyFont="1" applyBorder="1" applyAlignment="1">
      <alignment vertical="center"/>
    </xf>
    <xf numFmtId="4" fontId="7" fillId="0" borderId="103" xfId="0" applyNumberFormat="1" applyFont="1" applyBorder="1" applyAlignment="1">
      <alignment horizontal="center" vertical="center"/>
    </xf>
    <xf numFmtId="0" fontId="61" fillId="14" borderId="0" xfId="0" applyFont="1" applyFill="1" applyAlignment="1">
      <alignment horizontal="center" vertical="center"/>
    </xf>
    <xf numFmtId="0" fontId="11" fillId="5" borderId="0" xfId="0" applyFont="1" applyFill="1" applyAlignment="1">
      <alignment horizontal="center" vertical="center"/>
    </xf>
    <xf numFmtId="0" fontId="27" fillId="0" borderId="0" xfId="0" applyFont="1" applyAlignment="1">
      <alignment horizontal="center" vertical="center"/>
    </xf>
    <xf numFmtId="0" fontId="7" fillId="0" borderId="0" xfId="2" applyFont="1" applyAlignment="1" applyProtection="1">
      <alignment horizontal="center" vertical="center"/>
      <protection locked="0"/>
    </xf>
    <xf numFmtId="0" fontId="11" fillId="0" borderId="0" xfId="0" applyFont="1" applyAlignment="1">
      <alignment horizontal="center" vertical="center"/>
    </xf>
    <xf numFmtId="1" fontId="7" fillId="0" borderId="0" xfId="0" applyNumberFormat="1" applyFont="1" applyAlignment="1">
      <alignment horizontal="center" vertical="center"/>
    </xf>
    <xf numFmtId="0" fontId="63" fillId="11" borderId="0" xfId="0" applyFont="1" applyFill="1" applyAlignment="1">
      <alignment horizontal="center" vertical="center"/>
    </xf>
    <xf numFmtId="4" fontId="22" fillId="11" borderId="0" xfId="0" applyNumberFormat="1" applyFont="1" applyFill="1" applyAlignment="1">
      <alignment horizontal="center" vertical="center"/>
    </xf>
    <xf numFmtId="0" fontId="7" fillId="0" borderId="95" xfId="0" applyFont="1" applyBorder="1" applyAlignment="1">
      <alignment horizontal="center" vertical="center"/>
    </xf>
    <xf numFmtId="0" fontId="65" fillId="5" borderId="0" xfId="0" applyFont="1" applyFill="1" applyAlignment="1">
      <alignment horizontal="center" vertical="center"/>
    </xf>
    <xf numFmtId="4" fontId="21" fillId="0" borderId="0" xfId="0" applyNumberFormat="1" applyFont="1" applyAlignment="1">
      <alignment horizontal="center" vertical="center"/>
    </xf>
    <xf numFmtId="0" fontId="27" fillId="0" borderId="103" xfId="0" applyFont="1" applyBorder="1" applyAlignment="1">
      <alignment horizontal="center" vertical="center"/>
    </xf>
    <xf numFmtId="4" fontId="11" fillId="3" borderId="103" xfId="0" applyNumberFormat="1" applyFont="1" applyFill="1" applyBorder="1" applyAlignment="1">
      <alignment horizontal="center" vertical="center" wrapText="1"/>
    </xf>
    <xf numFmtId="4" fontId="62" fillId="12" borderId="103" xfId="0" applyNumberFormat="1" applyFont="1" applyFill="1" applyBorder="1" applyAlignment="1">
      <alignment horizontal="center" vertical="center" wrapText="1"/>
    </xf>
    <xf numFmtId="169" fontId="62" fillId="12" borderId="104" xfId="0" applyNumberFormat="1" applyFont="1" applyFill="1" applyBorder="1" applyAlignment="1">
      <alignment horizontal="center" vertical="center" wrapText="1"/>
    </xf>
    <xf numFmtId="169" fontId="7" fillId="0" borderId="0" xfId="0" applyNumberFormat="1" applyFont="1" applyAlignment="1">
      <alignment horizontal="center"/>
    </xf>
    <xf numFmtId="4" fontId="66" fillId="11" borderId="0" xfId="0" applyNumberFormat="1" applyFont="1" applyFill="1" applyAlignment="1">
      <alignment horizontal="center" vertical="center"/>
    </xf>
    <xf numFmtId="0" fontId="29" fillId="3" borderId="95" xfId="0" applyFont="1" applyFill="1" applyBorder="1" applyAlignment="1">
      <alignment horizontal="center" vertical="center"/>
    </xf>
    <xf numFmtId="14" fontId="11" fillId="13" borderId="29" xfId="0" applyNumberFormat="1" applyFont="1" applyFill="1" applyBorder="1" applyAlignment="1">
      <alignment vertical="center"/>
    </xf>
    <xf numFmtId="9" fontId="7" fillId="0" borderId="0" xfId="6" applyFont="1"/>
    <xf numFmtId="169" fontId="7" fillId="0" borderId="0" xfId="0" applyNumberFormat="1" applyFont="1"/>
    <xf numFmtId="0" fontId="7" fillId="18" borderId="0" xfId="0" applyFont="1" applyFill="1"/>
    <xf numFmtId="4" fontId="7" fillId="18" borderId="0" xfId="0" applyNumberFormat="1" applyFont="1" applyFill="1"/>
    <xf numFmtId="0" fontId="67" fillId="10" borderId="7" xfId="2" applyFont="1" applyFill="1" applyBorder="1" applyAlignment="1">
      <alignment horizontal="left" vertical="center" wrapText="1"/>
    </xf>
    <xf numFmtId="0" fontId="68" fillId="0" borderId="7" xfId="2" applyFont="1" applyBorder="1" applyAlignment="1">
      <alignment horizontal="left" vertical="center" wrapText="1"/>
    </xf>
    <xf numFmtId="0" fontId="4" fillId="11" borderId="7" xfId="2" applyFill="1" applyBorder="1" applyAlignment="1">
      <alignment horizontal="center" vertical="center"/>
    </xf>
    <xf numFmtId="0" fontId="4" fillId="0" borderId="0" xfId="2" applyAlignment="1">
      <alignment horizontal="center" vertical="center"/>
    </xf>
    <xf numFmtId="0" fontId="67" fillId="15" borderId="0" xfId="0" applyFont="1" applyFill="1" applyAlignment="1">
      <alignment vertical="center"/>
    </xf>
    <xf numFmtId="0" fontId="67" fillId="11" borderId="0" xfId="0" applyFont="1" applyFill="1"/>
    <xf numFmtId="0" fontId="4" fillId="0" borderId="0" xfId="0" applyFont="1"/>
    <xf numFmtId="0" fontId="4" fillId="0" borderId="0" xfId="0" applyFont="1" applyAlignment="1">
      <alignment horizontal="center"/>
    </xf>
    <xf numFmtId="4" fontId="4" fillId="0" borderId="0" xfId="0" applyNumberFormat="1" applyFont="1"/>
    <xf numFmtId="0" fontId="4" fillId="0" borderId="0" xfId="0" applyFont="1" applyAlignment="1">
      <alignment horizontal="center" wrapText="1"/>
    </xf>
    <xf numFmtId="0" fontId="13" fillId="12" borderId="0" xfId="0" applyFont="1" applyFill="1"/>
    <xf numFmtId="4" fontId="13" fillId="12" borderId="0" xfId="0" applyNumberFormat="1" applyFont="1" applyFill="1" applyAlignment="1">
      <alignment horizontal="center" wrapText="1"/>
    </xf>
    <xf numFmtId="0" fontId="13" fillId="12" borderId="0" xfId="0" applyFont="1" applyFill="1" applyAlignment="1">
      <alignment horizontal="center"/>
    </xf>
    <xf numFmtId="4" fontId="13" fillId="7" borderId="0" xfId="0" applyNumberFormat="1" applyFont="1" applyFill="1" applyAlignment="1">
      <alignment horizontal="center" wrapText="1"/>
    </xf>
    <xf numFmtId="4" fontId="13" fillId="0" borderId="0" xfId="0" applyNumberFormat="1" applyFont="1" applyAlignment="1">
      <alignment horizontal="center" wrapText="1"/>
    </xf>
    <xf numFmtId="4" fontId="13" fillId="15" borderId="0" xfId="0" applyNumberFormat="1" applyFont="1" applyFill="1" applyAlignment="1">
      <alignment horizontal="center" wrapText="1"/>
    </xf>
    <xf numFmtId="4" fontId="13" fillId="15" borderId="20" xfId="0" applyNumberFormat="1" applyFont="1" applyFill="1" applyBorder="1" applyAlignment="1">
      <alignment horizontal="center" wrapText="1"/>
    </xf>
    <xf numFmtId="4" fontId="13" fillId="7" borderId="20" xfId="0" applyNumberFormat="1" applyFont="1" applyFill="1" applyBorder="1" applyAlignment="1">
      <alignment horizontal="center" wrapText="1"/>
    </xf>
    <xf numFmtId="4" fontId="67" fillId="0" borderId="0" xfId="0" applyNumberFormat="1" applyFont="1" applyAlignment="1">
      <alignment horizontal="center" wrapText="1"/>
    </xf>
    <xf numFmtId="0" fontId="67" fillId="0" borderId="0" xfId="0" applyFont="1"/>
    <xf numFmtId="0" fontId="67" fillId="0" borderId="0" xfId="0" applyFont="1" applyAlignment="1">
      <alignment horizontal="center"/>
    </xf>
    <xf numFmtId="4" fontId="13" fillId="0" borderId="0" xfId="0" applyNumberFormat="1" applyFont="1" applyAlignment="1">
      <alignment wrapText="1"/>
    </xf>
    <xf numFmtId="4" fontId="13" fillId="0" borderId="83" xfId="0" applyNumberFormat="1" applyFont="1" applyBorder="1" applyAlignment="1">
      <alignment wrapText="1"/>
    </xf>
    <xf numFmtId="4" fontId="67" fillId="0" borderId="83" xfId="0" applyNumberFormat="1" applyFont="1" applyBorder="1" applyAlignment="1">
      <alignment horizontal="center" wrapText="1"/>
    </xf>
    <xf numFmtId="0" fontId="67" fillId="11" borderId="0" xfId="0" applyFont="1" applyFill="1" applyAlignment="1">
      <alignment horizontal="center"/>
    </xf>
    <xf numFmtId="4" fontId="67" fillId="11" borderId="0" xfId="0" applyNumberFormat="1" applyFont="1" applyFill="1"/>
    <xf numFmtId="4" fontId="67" fillId="0" borderId="0" xfId="0" applyNumberFormat="1" applyFont="1"/>
    <xf numFmtId="4" fontId="67" fillId="11" borderId="83" xfId="0" applyNumberFormat="1" applyFont="1" applyFill="1" applyBorder="1"/>
    <xf numFmtId="0" fontId="13" fillId="14" borderId="0" xfId="0" applyFont="1" applyFill="1"/>
    <xf numFmtId="0" fontId="4" fillId="14" borderId="0" xfId="0" applyFont="1" applyFill="1"/>
    <xf numFmtId="0" fontId="4" fillId="14" borderId="0" xfId="0" applyFont="1" applyFill="1" applyAlignment="1">
      <alignment horizontal="center"/>
    </xf>
    <xf numFmtId="4" fontId="4" fillId="0" borderId="83" xfId="0" applyNumberFormat="1" applyFont="1" applyBorder="1"/>
    <xf numFmtId="9" fontId="15" fillId="0" borderId="0" xfId="6" applyFont="1" applyFill="1" applyAlignment="1">
      <alignment horizontal="center"/>
    </xf>
    <xf numFmtId="0" fontId="13" fillId="5" borderId="0" xfId="0" applyFont="1" applyFill="1"/>
    <xf numFmtId="0" fontId="4" fillId="5" borderId="0" xfId="0" applyFont="1" applyFill="1" applyAlignment="1">
      <alignment horizontal="center"/>
    </xf>
    <xf numFmtId="0" fontId="4" fillId="0" borderId="0" xfId="2" applyProtection="1">
      <protection locked="0"/>
    </xf>
    <xf numFmtId="0" fontId="68" fillId="11" borderId="0" xfId="0" applyFont="1" applyFill="1" applyAlignment="1">
      <alignment horizontal="center"/>
    </xf>
    <xf numFmtId="4" fontId="68" fillId="11" borderId="0" xfId="0" applyNumberFormat="1" applyFont="1" applyFill="1"/>
    <xf numFmtId="4" fontId="68" fillId="0" borderId="0" xfId="0" applyNumberFormat="1" applyFont="1"/>
    <xf numFmtId="4" fontId="68" fillId="11" borderId="83" xfId="0" applyNumberFormat="1" applyFont="1" applyFill="1" applyBorder="1"/>
    <xf numFmtId="4" fontId="70" fillId="0" borderId="0" xfId="0" applyNumberFormat="1" applyFont="1"/>
    <xf numFmtId="166" fontId="67" fillId="0" borderId="83" xfId="0" applyNumberFormat="1" applyFont="1" applyBorder="1"/>
    <xf numFmtId="166" fontId="67" fillId="0" borderId="0" xfId="0" applyNumberFormat="1" applyFont="1"/>
    <xf numFmtId="4" fontId="67" fillId="0" borderId="83" xfId="0" applyNumberFormat="1" applyFont="1" applyBorder="1"/>
    <xf numFmtId="0" fontId="4" fillId="11" borderId="0" xfId="0" applyFont="1" applyFill="1"/>
    <xf numFmtId="4" fontId="70" fillId="0" borderId="83" xfId="0" applyNumberFormat="1" applyFont="1" applyBorder="1"/>
    <xf numFmtId="4" fontId="13" fillId="7" borderId="83" xfId="0" applyNumberFormat="1" applyFont="1" applyFill="1" applyBorder="1" applyAlignment="1">
      <alignment horizontal="center" wrapText="1"/>
    </xf>
    <xf numFmtId="4" fontId="13" fillId="15" borderId="83" xfId="0" applyNumberFormat="1" applyFont="1" applyFill="1" applyBorder="1" applyAlignment="1">
      <alignment horizontal="center" wrapText="1"/>
    </xf>
    <xf numFmtId="0" fontId="13" fillId="2" borderId="8" xfId="2" applyFont="1" applyFill="1" applyBorder="1" applyAlignment="1">
      <alignment horizontal="center"/>
    </xf>
    <xf numFmtId="171" fontId="4" fillId="6" borderId="8" xfId="8" applyNumberFormat="1" applyFont="1" applyFill="1" applyBorder="1" applyAlignment="1">
      <alignment horizontal="center"/>
    </xf>
    <xf numFmtId="171" fontId="4" fillId="7" borderId="8" xfId="8" applyNumberFormat="1" applyFont="1" applyFill="1" applyBorder="1" applyAlignment="1">
      <alignment horizontal="center"/>
    </xf>
    <xf numFmtId="164" fontId="12" fillId="0" borderId="0" xfId="5" applyFont="1" applyAlignment="1">
      <alignment horizontal="center"/>
    </xf>
    <xf numFmtId="171" fontId="4" fillId="17" borderId="8" xfId="8" applyNumberFormat="1" applyFont="1" applyFill="1" applyBorder="1" applyAlignment="1">
      <alignment horizontal="center"/>
    </xf>
    <xf numFmtId="2" fontId="4" fillId="7" borderId="8" xfId="2" applyNumberFormat="1" applyFill="1" applyBorder="1" applyAlignment="1">
      <alignment horizontal="center"/>
    </xf>
    <xf numFmtId="171" fontId="4" fillId="2" borderId="8" xfId="8" applyNumberFormat="1" applyFont="1" applyFill="1" applyBorder="1" applyAlignment="1">
      <alignment horizontal="center"/>
    </xf>
    <xf numFmtId="43" fontId="4" fillId="2" borderId="8" xfId="8" applyFont="1" applyFill="1" applyBorder="1" applyAlignment="1">
      <alignment horizontal="center"/>
    </xf>
    <xf numFmtId="164" fontId="16" fillId="17" borderId="1" xfId="5" applyFont="1" applyFill="1" applyBorder="1"/>
    <xf numFmtId="164" fontId="16" fillId="17" borderId="2" xfId="5" applyFont="1" applyFill="1" applyBorder="1"/>
    <xf numFmtId="164" fontId="12" fillId="17" borderId="106" xfId="5" applyFont="1" applyFill="1" applyBorder="1"/>
    <xf numFmtId="164" fontId="12" fillId="17" borderId="2" xfId="5" applyFont="1" applyFill="1" applyBorder="1"/>
    <xf numFmtId="164" fontId="16" fillId="17" borderId="5" xfId="5" applyFont="1" applyFill="1" applyBorder="1"/>
    <xf numFmtId="164" fontId="16" fillId="17" borderId="27" xfId="5" applyFont="1" applyFill="1" applyBorder="1"/>
    <xf numFmtId="164" fontId="12" fillId="17" borderId="27" xfId="5" applyFont="1" applyFill="1" applyBorder="1"/>
    <xf numFmtId="164" fontId="12" fillId="17" borderId="6" xfId="5" applyFont="1" applyFill="1" applyBorder="1"/>
    <xf numFmtId="170" fontId="4" fillId="6" borderId="8" xfId="2" applyNumberFormat="1" applyFill="1" applyBorder="1" applyAlignment="1">
      <alignment horizontal="center"/>
    </xf>
    <xf numFmtId="170" fontId="13" fillId="7" borderId="8" xfId="2" applyNumberFormat="1" applyFont="1" applyFill="1" applyBorder="1" applyAlignment="1">
      <alignment horizontal="center"/>
    </xf>
    <xf numFmtId="1" fontId="13" fillId="7" borderId="8" xfId="2" applyNumberFormat="1" applyFont="1" applyFill="1" applyBorder="1" applyAlignment="1">
      <alignment horizontal="center"/>
    </xf>
    <xf numFmtId="0" fontId="4" fillId="11" borderId="0" xfId="2" applyFill="1" applyAlignment="1">
      <alignment horizontal="center" vertical="center"/>
    </xf>
    <xf numFmtId="10" fontId="4" fillId="0" borderId="0" xfId="6" applyNumberFormat="1" applyFont="1" applyFill="1" applyBorder="1"/>
    <xf numFmtId="166" fontId="13" fillId="0" borderId="57" xfId="0" applyNumberFormat="1" applyFont="1" applyBorder="1"/>
    <xf numFmtId="166" fontId="13" fillId="0" borderId="0" xfId="0" applyNumberFormat="1" applyFont="1"/>
    <xf numFmtId="9" fontId="4" fillId="19" borderId="0" xfId="6" applyFont="1" applyFill="1" applyAlignment="1">
      <alignment horizontal="center"/>
    </xf>
    <xf numFmtId="4" fontId="13" fillId="0" borderId="57" xfId="0" applyNumberFormat="1" applyFont="1" applyBorder="1"/>
    <xf numFmtId="4" fontId="13" fillId="0" borderId="0" xfId="0" applyNumberFormat="1" applyFont="1"/>
    <xf numFmtId="0" fontId="13" fillId="0" borderId="0" xfId="0" applyFont="1" applyAlignment="1">
      <alignment horizontal="center"/>
    </xf>
    <xf numFmtId="0" fontId="71" fillId="0" borderId="107" xfId="0" applyFont="1" applyBorder="1" applyAlignment="1">
      <alignment horizontal="center" vertical="center" wrapText="1"/>
    </xf>
    <xf numFmtId="0" fontId="71" fillId="0" borderId="0" xfId="0" applyFont="1" applyAlignment="1">
      <alignment horizontal="center" vertical="center" wrapText="1"/>
    </xf>
    <xf numFmtId="0" fontId="13" fillId="0" borderId="47" xfId="0" applyFont="1" applyBorder="1" applyAlignment="1">
      <alignment horizontal="center" vertical="center" wrapText="1"/>
    </xf>
    <xf numFmtId="2" fontId="71" fillId="0" borderId="107" xfId="0" applyNumberFormat="1" applyFont="1" applyBorder="1" applyAlignment="1">
      <alignment horizontal="center" vertical="center"/>
    </xf>
    <xf numFmtId="0" fontId="13" fillId="0" borderId="0" xfId="0" applyFont="1" applyAlignment="1">
      <alignment horizontal="center" vertical="center" wrapText="1"/>
    </xf>
    <xf numFmtId="14" fontId="21" fillId="0" borderId="0" xfId="0" applyNumberFormat="1" applyFont="1"/>
    <xf numFmtId="0" fontId="32" fillId="0" borderId="109" xfId="2" applyFont="1" applyBorder="1" applyAlignment="1">
      <alignment horizontal="left"/>
    </xf>
    <xf numFmtId="0" fontId="32" fillId="0" borderId="111" xfId="2" applyFont="1" applyBorder="1"/>
    <xf numFmtId="0" fontId="32" fillId="0" borderId="50" xfId="2" applyFont="1" applyBorder="1"/>
    <xf numFmtId="2" fontId="52" fillId="10" borderId="50" xfId="2" applyNumberFormat="1" applyFont="1" applyFill="1" applyBorder="1" applyAlignment="1">
      <alignment horizontal="center"/>
    </xf>
    <xf numFmtId="0" fontId="32" fillId="0" borderId="110" xfId="2" applyFont="1" applyBorder="1" applyAlignment="1">
      <alignment horizontal="left"/>
    </xf>
    <xf numFmtId="0" fontId="32" fillId="0" borderId="113" xfId="2" applyFont="1" applyBorder="1"/>
    <xf numFmtId="0" fontId="32" fillId="0" borderId="114" xfId="2" applyFont="1" applyBorder="1" applyAlignment="1">
      <alignment horizontal="right"/>
    </xf>
    <xf numFmtId="0" fontId="32" fillId="0" borderId="113" xfId="2" applyFont="1" applyBorder="1" applyAlignment="1">
      <alignment horizontal="center"/>
    </xf>
    <xf numFmtId="0" fontId="33" fillId="0" borderId="0" xfId="2" applyFont="1" applyAlignment="1">
      <alignment horizontal="left"/>
    </xf>
    <xf numFmtId="0" fontId="32" fillId="0" borderId="115" xfId="2" applyFont="1" applyBorder="1" applyAlignment="1">
      <alignment horizontal="center"/>
    </xf>
    <xf numFmtId="0" fontId="32" fillId="0" borderId="54" xfId="2" applyFont="1" applyBorder="1" applyAlignment="1">
      <alignment horizontal="center"/>
    </xf>
    <xf numFmtId="0" fontId="32" fillId="0" borderId="75" xfId="2" applyFont="1" applyBorder="1" applyAlignment="1">
      <alignment horizontal="center"/>
    </xf>
    <xf numFmtId="1" fontId="32" fillId="11" borderId="45" xfId="2" applyNumberFormat="1" applyFont="1" applyFill="1" applyBorder="1" applyAlignment="1">
      <alignment horizontal="center"/>
    </xf>
    <xf numFmtId="0" fontId="32" fillId="0" borderId="116" xfId="2" applyFont="1" applyBorder="1" applyAlignment="1">
      <alignment vertical="center"/>
    </xf>
    <xf numFmtId="0" fontId="32" fillId="0" borderId="117" xfId="2" applyFont="1" applyBorder="1" applyAlignment="1">
      <alignment vertical="center"/>
    </xf>
    <xf numFmtId="0" fontId="32" fillId="0" borderId="54" xfId="2" applyFont="1" applyBorder="1" applyAlignment="1">
      <alignment vertical="center"/>
    </xf>
    <xf numFmtId="0" fontId="32" fillId="0" borderId="51" xfId="2" applyFont="1" applyBorder="1" applyAlignment="1">
      <alignment horizontal="left"/>
    </xf>
    <xf numFmtId="0" fontId="32" fillId="0" borderId="123" xfId="2" applyFont="1" applyBorder="1"/>
    <xf numFmtId="0" fontId="32" fillId="0" borderId="118" xfId="2" applyFont="1" applyBorder="1"/>
    <xf numFmtId="0" fontId="32" fillId="13" borderId="47" xfId="2" applyFont="1" applyFill="1" applyBorder="1" applyAlignment="1">
      <alignment horizontal="center" vertical="center"/>
    </xf>
    <xf numFmtId="0" fontId="33" fillId="0" borderId="109" xfId="2" applyFont="1" applyBorder="1" applyAlignment="1">
      <alignment horizontal="left"/>
    </xf>
    <xf numFmtId="0" fontId="4" fillId="0" borderId="0" xfId="0" applyFont="1" applyAlignment="1">
      <alignment horizontal="left"/>
    </xf>
    <xf numFmtId="0" fontId="73" fillId="0" borderId="127" xfId="0" applyFont="1" applyBorder="1" applyAlignment="1">
      <alignment horizontal="center" vertical="center"/>
    </xf>
    <xf numFmtId="1" fontId="73" fillId="0" borderId="128" xfId="0" applyNumberFormat="1" applyFont="1" applyBorder="1" applyAlignment="1">
      <alignment horizontal="center"/>
    </xf>
    <xf numFmtId="1" fontId="73" fillId="0" borderId="129" xfId="0" applyNumberFormat="1" applyFont="1" applyBorder="1" applyAlignment="1">
      <alignment horizontal="center"/>
    </xf>
    <xf numFmtId="169" fontId="11" fillId="12" borderId="85" xfId="0" applyNumberFormat="1" applyFont="1" applyFill="1" applyBorder="1" applyAlignment="1">
      <alignment horizontal="center" wrapText="1"/>
    </xf>
    <xf numFmtId="169" fontId="22" fillId="0" borderId="85" xfId="0" applyNumberFormat="1" applyFont="1" applyBorder="1" applyAlignment="1">
      <alignment horizontal="center" wrapText="1"/>
    </xf>
    <xf numFmtId="169" fontId="22" fillId="11" borderId="85" xfId="0" applyNumberFormat="1" applyFont="1" applyFill="1" applyBorder="1"/>
    <xf numFmtId="169" fontId="27" fillId="11" borderId="85" xfId="0" applyNumberFormat="1" applyFont="1" applyFill="1" applyBorder="1"/>
    <xf numFmtId="169" fontId="22" fillId="0" borderId="85" xfId="0" applyNumberFormat="1" applyFont="1" applyBorder="1"/>
    <xf numFmtId="169" fontId="7" fillId="11" borderId="85" xfId="0" applyNumberFormat="1" applyFont="1" applyFill="1" applyBorder="1"/>
    <xf numFmtId="0" fontId="7" fillId="0" borderId="0" xfId="0" applyFont="1" applyAlignment="1">
      <alignment horizontal="left" vertical="center"/>
    </xf>
    <xf numFmtId="0" fontId="7" fillId="0" borderId="95" xfId="0" applyFont="1" applyBorder="1" applyAlignment="1">
      <alignment horizontal="left" vertical="center"/>
    </xf>
    <xf numFmtId="0" fontId="7" fillId="0" borderId="95" xfId="0" applyFont="1" applyBorder="1" applyAlignment="1">
      <alignment vertical="center"/>
    </xf>
    <xf numFmtId="0" fontId="34" fillId="0" borderId="0" xfId="0" applyFont="1" applyAlignment="1">
      <alignment horizontal="center" vertical="center"/>
    </xf>
    <xf numFmtId="0" fontId="34" fillId="5" borderId="0" xfId="0" applyFont="1" applyFill="1" applyAlignment="1">
      <alignment horizontal="center" vertical="center"/>
    </xf>
    <xf numFmtId="0" fontId="34" fillId="11" borderId="0" xfId="0" applyFont="1" applyFill="1" applyAlignment="1">
      <alignment horizontal="center" vertical="center"/>
    </xf>
    <xf numFmtId="0" fontId="34" fillId="0" borderId="95" xfId="0" applyFont="1" applyBorder="1" applyAlignment="1">
      <alignment vertical="center"/>
    </xf>
    <xf numFmtId="0" fontId="34" fillId="0" borderId="0" xfId="0" applyFont="1" applyAlignment="1">
      <alignment horizontal="left" vertical="center"/>
    </xf>
    <xf numFmtId="0" fontId="34" fillId="0" borderId="95" xfId="0" applyFont="1" applyBorder="1" applyAlignment="1">
      <alignment horizontal="left" vertical="center"/>
    </xf>
    <xf numFmtId="0" fontId="34" fillId="0" borderId="103" xfId="0" applyFont="1" applyBorder="1" applyAlignment="1">
      <alignment horizontal="center" vertical="center"/>
    </xf>
    <xf numFmtId="0" fontId="11" fillId="0" borderId="0" xfId="0" applyFont="1" applyAlignment="1">
      <alignment horizontal="center" vertical="center" wrapText="1"/>
    </xf>
    <xf numFmtId="169" fontId="7" fillId="0" borderId="0" xfId="0" applyNumberFormat="1" applyFont="1" applyAlignment="1">
      <alignment horizontal="center" vertical="center" wrapText="1"/>
    </xf>
    <xf numFmtId="4" fontId="7" fillId="0" borderId="0" xfId="0" applyNumberFormat="1" applyFont="1" applyAlignment="1">
      <alignment horizontal="center" vertical="center" wrapText="1"/>
    </xf>
    <xf numFmtId="4" fontId="7" fillId="0" borderId="0" xfId="0" applyNumberFormat="1" applyFont="1" applyAlignment="1">
      <alignment wrapText="1"/>
    </xf>
    <xf numFmtId="0" fontId="7" fillId="0" borderId="0" xfId="0" applyFont="1" applyAlignment="1">
      <alignment horizontal="center" wrapText="1"/>
    </xf>
    <xf numFmtId="2" fontId="4" fillId="6" borderId="8" xfId="2" applyNumberFormat="1" applyFill="1" applyBorder="1" applyAlignment="1">
      <alignment horizontal="center"/>
    </xf>
    <xf numFmtId="0" fontId="7" fillId="3" borderId="0" xfId="0" applyFont="1" applyFill="1"/>
    <xf numFmtId="0" fontId="32" fillId="0" borderId="130" xfId="2" applyFont="1" applyBorder="1"/>
    <xf numFmtId="0" fontId="32" fillId="0" borderId="131" xfId="2" applyFont="1" applyBorder="1"/>
    <xf numFmtId="0" fontId="32" fillId="0" borderId="0" xfId="2" applyFont="1" applyAlignment="1">
      <alignment horizontal="center" vertical="center"/>
    </xf>
    <xf numFmtId="2" fontId="7" fillId="0" borderId="0" xfId="0" applyNumberFormat="1" applyFont="1"/>
    <xf numFmtId="4" fontId="4" fillId="0" borderId="15" xfId="0" applyNumberFormat="1" applyFont="1" applyBorder="1"/>
    <xf numFmtId="2" fontId="32" fillId="3" borderId="0" xfId="2" applyNumberFormat="1" applyFont="1" applyFill="1" applyAlignment="1">
      <alignment horizontal="center"/>
    </xf>
    <xf numFmtId="0" fontId="32" fillId="0" borderId="116" xfId="2" applyFont="1" applyBorder="1"/>
    <xf numFmtId="1" fontId="32" fillId="3" borderId="133" xfId="2" applyNumberFormat="1" applyFont="1" applyFill="1" applyBorder="1" applyAlignment="1">
      <alignment horizontal="center"/>
    </xf>
    <xf numFmtId="0" fontId="32" fillId="0" borderId="109" xfId="2" applyFont="1" applyBorder="1" applyAlignment="1">
      <alignment horizontal="center"/>
    </xf>
    <xf numFmtId="0" fontId="32" fillId="13" borderId="124" xfId="2" applyFont="1" applyFill="1" applyBorder="1" applyAlignment="1">
      <alignment horizontal="center"/>
    </xf>
    <xf numFmtId="0" fontId="32" fillId="0" borderId="109" xfId="2" applyFont="1" applyBorder="1"/>
    <xf numFmtId="0" fontId="32" fillId="0" borderId="71" xfId="2" applyFont="1" applyBorder="1" applyAlignment="1">
      <alignment horizontal="left"/>
    </xf>
    <xf numFmtId="0" fontId="32" fillId="0" borderId="85" xfId="2" applyFont="1" applyBorder="1" applyAlignment="1">
      <alignment vertical="center"/>
    </xf>
    <xf numFmtId="0" fontId="32" fillId="0" borderId="85" xfId="2" applyFont="1" applyBorder="1" applyAlignment="1">
      <alignment horizontal="center"/>
    </xf>
    <xf numFmtId="0" fontId="32" fillId="0" borderId="31" xfId="2" applyFont="1" applyBorder="1" applyAlignment="1">
      <alignment horizontal="center"/>
    </xf>
    <xf numFmtId="0" fontId="56" fillId="0" borderId="0" xfId="2" applyFont="1" applyAlignment="1">
      <alignment horizontal="center"/>
    </xf>
    <xf numFmtId="1" fontId="56" fillId="0" borderId="0" xfId="2" applyNumberFormat="1" applyFont="1" applyAlignment="1">
      <alignment horizontal="center"/>
    </xf>
    <xf numFmtId="0" fontId="30" fillId="0" borderId="7" xfId="2" applyFont="1" applyBorder="1"/>
    <xf numFmtId="0" fontId="32" fillId="11" borderId="132" xfId="2" applyFont="1" applyFill="1" applyBorder="1" applyAlignment="1">
      <alignment horizontal="center"/>
    </xf>
    <xf numFmtId="0" fontId="32" fillId="13" borderId="125" xfId="2" applyFont="1" applyFill="1" applyBorder="1" applyAlignment="1">
      <alignment horizontal="center"/>
    </xf>
    <xf numFmtId="0" fontId="30" fillId="0" borderId="31" xfId="2" applyFont="1" applyBorder="1"/>
    <xf numFmtId="0" fontId="56" fillId="10" borderId="134" xfId="2" applyFont="1" applyFill="1" applyBorder="1" applyAlignment="1">
      <alignment horizontal="center"/>
    </xf>
    <xf numFmtId="0" fontId="33" fillId="0" borderId="0" xfId="2" applyFont="1" applyAlignment="1">
      <alignment horizontal="center"/>
    </xf>
    <xf numFmtId="0" fontId="32" fillId="0" borderId="23" xfId="2" applyFont="1" applyBorder="1" applyAlignment="1">
      <alignment horizontal="center"/>
    </xf>
    <xf numFmtId="2" fontId="32" fillId="11" borderId="23" xfId="2" applyNumberFormat="1" applyFont="1" applyFill="1" applyBorder="1" applyAlignment="1">
      <alignment horizontal="center"/>
    </xf>
    <xf numFmtId="0" fontId="74" fillId="0" borderId="0" xfId="0" applyFont="1" applyAlignment="1">
      <alignment horizontal="center" vertical="center"/>
    </xf>
    <xf numFmtId="4" fontId="74" fillId="0" borderId="101" xfId="0" applyNumberFormat="1" applyFont="1" applyBorder="1" applyAlignment="1">
      <alignment horizontal="center" vertical="center" wrapText="1"/>
    </xf>
    <xf numFmtId="0" fontId="13" fillId="0" borderId="0" xfId="0" applyFont="1"/>
    <xf numFmtId="2" fontId="22" fillId="10" borderId="45" xfId="2" applyNumberFormat="1" applyFont="1" applyFill="1" applyBorder="1" applyAlignment="1">
      <alignment horizontal="center"/>
    </xf>
    <xf numFmtId="0" fontId="32" fillId="0" borderId="137" xfId="2" applyFont="1" applyBorder="1" applyAlignment="1">
      <alignment horizontal="left"/>
    </xf>
    <xf numFmtId="0" fontId="32" fillId="0" borderId="63" xfId="2" applyFont="1" applyBorder="1" applyAlignment="1">
      <alignment horizontal="left"/>
    </xf>
    <xf numFmtId="0" fontId="62" fillId="12" borderId="93" xfId="0" applyFont="1" applyFill="1" applyBorder="1" applyAlignment="1">
      <alignment horizontal="center" vertical="center"/>
    </xf>
    <xf numFmtId="0" fontId="62" fillId="12" borderId="94" xfId="0" applyFont="1" applyFill="1" applyBorder="1" applyAlignment="1">
      <alignment vertical="center"/>
    </xf>
    <xf numFmtId="4" fontId="62" fillId="12" borderId="94" xfId="0" applyNumberFormat="1" applyFont="1" applyFill="1" applyBorder="1" applyAlignment="1">
      <alignment horizontal="center" vertical="center" wrapText="1"/>
    </xf>
    <xf numFmtId="0" fontId="62" fillId="12" borderId="94" xfId="0" applyFont="1" applyFill="1" applyBorder="1" applyAlignment="1">
      <alignment horizontal="center" vertical="center"/>
    </xf>
    <xf numFmtId="4" fontId="62" fillId="15" borderId="94" xfId="0" applyNumberFormat="1" applyFont="1" applyFill="1" applyBorder="1" applyAlignment="1">
      <alignment horizontal="center" vertical="center" wrapText="1"/>
    </xf>
    <xf numFmtId="4" fontId="62" fillId="15" borderId="105" xfId="0" applyNumberFormat="1" applyFont="1" applyFill="1" applyBorder="1" applyAlignment="1">
      <alignment horizontal="center" vertical="center" wrapText="1"/>
    </xf>
    <xf numFmtId="165" fontId="18" fillId="4" borderId="0" xfId="5" applyNumberFormat="1" applyFont="1" applyFill="1" applyAlignment="1">
      <alignment vertical="top" wrapText="1"/>
    </xf>
    <xf numFmtId="170" fontId="4" fillId="0" borderId="0" xfId="2" applyNumberFormat="1" applyAlignment="1">
      <alignment horizontal="center"/>
    </xf>
    <xf numFmtId="170" fontId="13" fillId="0" borderId="0" xfId="2" applyNumberFormat="1" applyFont="1" applyAlignment="1">
      <alignment horizontal="center"/>
    </xf>
    <xf numFmtId="1" fontId="13" fillId="0" borderId="0" xfId="2" applyNumberFormat="1" applyFont="1" applyAlignment="1">
      <alignment horizontal="center"/>
    </xf>
    <xf numFmtId="0" fontId="13" fillId="0" borderId="0" xfId="2" applyFont="1" applyAlignment="1">
      <alignment horizontal="center"/>
    </xf>
    <xf numFmtId="0" fontId="4" fillId="0" borderId="0" xfId="2" applyAlignment="1">
      <alignment horizontal="center"/>
    </xf>
    <xf numFmtId="171" fontId="4" fillId="0" borderId="0" xfId="8" applyNumberFormat="1" applyFont="1" applyFill="1" applyBorder="1" applyAlignment="1">
      <alignment horizontal="center"/>
    </xf>
    <xf numFmtId="2" fontId="4" fillId="0" borderId="0" xfId="2" applyNumberFormat="1" applyAlignment="1">
      <alignment horizontal="center"/>
    </xf>
    <xf numFmtId="43" fontId="4" fillId="0" borderId="0" xfId="8" applyFont="1" applyFill="1" applyBorder="1" applyAlignment="1">
      <alignment horizontal="center"/>
    </xf>
    <xf numFmtId="0" fontId="21" fillId="0" borderId="0" xfId="0" applyFont="1"/>
    <xf numFmtId="164" fontId="12" fillId="0" borderId="0" xfId="5" applyFont="1" applyAlignment="1">
      <alignment horizontal="right" vertical="top" wrapText="1"/>
    </xf>
    <xf numFmtId="165" fontId="18" fillId="0" borderId="0" xfId="5" applyNumberFormat="1" applyFont="1" applyAlignment="1">
      <alignment vertical="top" wrapText="1"/>
    </xf>
    <xf numFmtId="0" fontId="32" fillId="0" borderId="140" xfId="2" applyFont="1" applyBorder="1" applyAlignment="1">
      <alignment horizontal="center"/>
    </xf>
    <xf numFmtId="2" fontId="22" fillId="10" borderId="141" xfId="2" applyNumberFormat="1" applyFont="1" applyFill="1" applyBorder="1" applyAlignment="1">
      <alignment horizontal="center"/>
    </xf>
    <xf numFmtId="169" fontId="62" fillId="0" borderId="101" xfId="0" applyNumberFormat="1" applyFont="1" applyBorder="1" applyAlignment="1">
      <alignment horizontal="center" vertical="center"/>
    </xf>
    <xf numFmtId="0" fontId="32" fillId="11" borderId="23" xfId="2" applyFont="1" applyFill="1" applyBorder="1" applyAlignment="1">
      <alignment horizontal="center"/>
    </xf>
    <xf numFmtId="0" fontId="75" fillId="11" borderId="45" xfId="2" applyFont="1" applyFill="1" applyBorder="1" applyAlignment="1">
      <alignment horizontal="center"/>
    </xf>
    <xf numFmtId="1" fontId="76" fillId="0" borderId="66" xfId="2" applyNumberFormat="1" applyFont="1" applyBorder="1" applyAlignment="1">
      <alignment horizontal="center"/>
    </xf>
    <xf numFmtId="1" fontId="76" fillId="0" borderId="67" xfId="2" applyNumberFormat="1" applyFont="1" applyBorder="1" applyAlignment="1">
      <alignment horizontal="center"/>
    </xf>
    <xf numFmtId="0" fontId="2" fillId="0" borderId="0" xfId="0" applyFont="1" applyAlignment="1">
      <alignment horizontal="center" vertical="center"/>
    </xf>
    <xf numFmtId="169" fontId="2" fillId="0" borderId="0" xfId="0" applyNumberFormat="1" applyFont="1" applyAlignment="1">
      <alignment horizontal="center" vertical="center"/>
    </xf>
    <xf numFmtId="4" fontId="2" fillId="0" borderId="0" xfId="0" applyNumberFormat="1" applyFont="1" applyAlignment="1">
      <alignment horizontal="center" vertical="center"/>
    </xf>
    <xf numFmtId="166" fontId="12" fillId="0" borderId="0" xfId="6" applyNumberFormat="1" applyFont="1" applyAlignment="1">
      <alignment vertical="top"/>
    </xf>
    <xf numFmtId="0" fontId="13" fillId="0" borderId="47" xfId="0" applyFont="1" applyBorder="1" applyAlignment="1">
      <alignment horizontal="center" vertical="center"/>
    </xf>
    <xf numFmtId="4" fontId="74" fillId="0" borderId="0" xfId="0" applyNumberFormat="1" applyFont="1" applyAlignment="1">
      <alignment horizontal="center" wrapText="1"/>
    </xf>
    <xf numFmtId="2" fontId="27" fillId="0" borderId="0" xfId="0" applyNumberFormat="1" applyFont="1" applyAlignment="1">
      <alignment horizontal="center" vertical="center"/>
    </xf>
    <xf numFmtId="2" fontId="59" fillId="0" borderId="0" xfId="6" applyNumberFormat="1" applyFont="1" applyFill="1" applyBorder="1" applyAlignment="1">
      <alignment horizontal="center"/>
    </xf>
    <xf numFmtId="2" fontId="0" fillId="0" borderId="0" xfId="0" applyNumberFormat="1"/>
    <xf numFmtId="4" fontId="7" fillId="0" borderId="142" xfId="0" applyNumberFormat="1" applyFont="1" applyBorder="1"/>
    <xf numFmtId="0" fontId="7" fillId="0" borderId="84" xfId="0" applyFont="1" applyBorder="1"/>
    <xf numFmtId="0" fontId="7" fillId="0" borderId="142" xfId="0" applyFont="1" applyBorder="1"/>
    <xf numFmtId="4" fontId="7" fillId="0" borderId="84" xfId="0" applyNumberFormat="1" applyFont="1" applyBorder="1" applyAlignment="1">
      <alignment vertical="center"/>
    </xf>
    <xf numFmtId="0" fontId="0" fillId="0" borderId="0" xfId="0" applyAlignment="1">
      <alignment vertical="center"/>
    </xf>
    <xf numFmtId="9" fontId="24" fillId="0" borderId="0" xfId="6" applyFont="1" applyFill="1" applyBorder="1" applyAlignment="1">
      <alignment horizontal="center" vertical="center"/>
    </xf>
    <xf numFmtId="2" fontId="59" fillId="0" borderId="0" xfId="6" applyNumberFormat="1" applyFont="1" applyBorder="1" applyAlignment="1">
      <alignment horizontal="center" vertical="center"/>
    </xf>
    <xf numFmtId="169" fontId="7" fillId="0" borderId="85" xfId="0" applyNumberFormat="1" applyFont="1" applyBorder="1" applyAlignment="1">
      <alignment vertical="center"/>
    </xf>
    <xf numFmtId="9" fontId="24" fillId="0" borderId="84" xfId="6" applyFont="1" applyFill="1" applyBorder="1" applyAlignment="1">
      <alignment horizontal="center" vertical="center"/>
    </xf>
    <xf numFmtId="2" fontId="7" fillId="0" borderId="85" xfId="0" applyNumberFormat="1" applyFont="1" applyBorder="1" applyAlignment="1">
      <alignment vertical="center"/>
    </xf>
    <xf numFmtId="4" fontId="7" fillId="0" borderId="85" xfId="0" applyNumberFormat="1" applyFont="1" applyBorder="1" applyAlignment="1">
      <alignment vertical="center"/>
    </xf>
    <xf numFmtId="0" fontId="7" fillId="18" borderId="0" xfId="0" applyFont="1" applyFill="1" applyAlignment="1">
      <alignment vertical="center"/>
    </xf>
    <xf numFmtId="2" fontId="71" fillId="0" borderId="0" xfId="0" applyNumberFormat="1" applyFont="1" applyAlignment="1">
      <alignment horizontal="center" vertical="center"/>
    </xf>
    <xf numFmtId="0" fontId="13" fillId="11" borderId="0" xfId="0" applyFont="1" applyFill="1" applyAlignment="1">
      <alignment horizontal="center" vertical="center"/>
    </xf>
    <xf numFmtId="49" fontId="13" fillId="2" borderId="8" xfId="2" applyNumberFormat="1" applyFont="1" applyFill="1" applyBorder="1" applyAlignment="1">
      <alignment horizontal="left"/>
    </xf>
    <xf numFmtId="49" fontId="4" fillId="5" borderId="8" xfId="5" applyNumberFormat="1" applyFill="1" applyBorder="1" applyAlignment="1">
      <alignment horizontal="left"/>
    </xf>
    <xf numFmtId="0" fontId="7" fillId="0" borderId="0" xfId="2" applyFont="1"/>
    <xf numFmtId="1" fontId="7" fillId="11" borderId="8" xfId="2" applyNumberFormat="1" applyFont="1" applyFill="1" applyBorder="1" applyAlignment="1">
      <alignment horizontal="center"/>
    </xf>
    <xf numFmtId="164" fontId="12" fillId="0" borderId="3" xfId="5" applyFont="1" applyBorder="1" applyAlignment="1">
      <alignment vertical="center"/>
    </xf>
    <xf numFmtId="164" fontId="4" fillId="0" borderId="2" xfId="5" applyBorder="1" applyAlignment="1">
      <alignment vertical="top"/>
    </xf>
    <xf numFmtId="164" fontId="12" fillId="0" borderId="3" xfId="5" applyFont="1" applyBorder="1" applyAlignment="1">
      <alignment horizontal="right" vertical="center"/>
    </xf>
    <xf numFmtId="164" fontId="12" fillId="0" borderId="5" xfId="5" applyFont="1" applyBorder="1" applyAlignment="1">
      <alignment horizontal="right" vertical="top" wrapText="1"/>
    </xf>
    <xf numFmtId="1" fontId="4" fillId="0" borderId="4" xfId="5" applyNumberFormat="1" applyBorder="1" applyAlignment="1">
      <alignment horizontal="left" vertical="center"/>
    </xf>
    <xf numFmtId="14" fontId="4" fillId="0" borderId="6" xfId="5" applyNumberFormat="1" applyBorder="1" applyAlignment="1">
      <alignment horizontal="left" vertical="top"/>
    </xf>
    <xf numFmtId="4" fontId="4" fillId="0" borderId="0" xfId="0" applyNumberFormat="1" applyFont="1" applyAlignment="1">
      <alignment horizontal="center"/>
    </xf>
    <xf numFmtId="4" fontId="67" fillId="11" borderId="0" xfId="0" applyNumberFormat="1" applyFont="1" applyFill="1" applyAlignment="1">
      <alignment horizontal="center"/>
    </xf>
    <xf numFmtId="4" fontId="27" fillId="11" borderId="0" xfId="0" applyNumberFormat="1" applyFont="1" applyFill="1" applyAlignment="1">
      <alignment horizontal="center"/>
    </xf>
    <xf numFmtId="0" fontId="0" fillId="0" borderId="0" xfId="0" applyAlignment="1">
      <alignment horizontal="center"/>
    </xf>
    <xf numFmtId="4" fontId="70" fillId="0" borderId="0" xfId="0" applyNumberFormat="1" applyFont="1" applyAlignment="1">
      <alignment horizontal="center"/>
    </xf>
    <xf numFmtId="4" fontId="68" fillId="11" borderId="0" xfId="0" applyNumberFormat="1" applyFont="1" applyFill="1" applyAlignment="1">
      <alignment horizontal="center"/>
    </xf>
    <xf numFmtId="4" fontId="67" fillId="0" borderId="0" xfId="0" applyNumberFormat="1" applyFont="1" applyAlignment="1">
      <alignment horizontal="center"/>
    </xf>
    <xf numFmtId="4" fontId="4" fillId="0" borderId="19" xfId="0" applyNumberFormat="1" applyFont="1" applyBorder="1" applyAlignment="1">
      <alignment horizontal="center"/>
    </xf>
    <xf numFmtId="166" fontId="13" fillId="0" borderId="57" xfId="0" applyNumberFormat="1" applyFont="1" applyBorder="1" applyAlignment="1">
      <alignment horizontal="center"/>
    </xf>
    <xf numFmtId="0" fontId="30" fillId="0" borderId="0" xfId="0" applyFont="1"/>
    <xf numFmtId="0" fontId="77" fillId="14" borderId="0" xfId="0" applyFont="1" applyFill="1"/>
    <xf numFmtId="0" fontId="30" fillId="0" borderId="0" xfId="0" applyFont="1" applyAlignment="1">
      <alignment horizontal="right"/>
    </xf>
    <xf numFmtId="0" fontId="30" fillId="0" borderId="0" xfId="0" applyFont="1" applyAlignment="1">
      <alignment vertical="center"/>
    </xf>
    <xf numFmtId="0" fontId="78" fillId="11" borderId="0" xfId="0" applyFont="1" applyFill="1"/>
    <xf numFmtId="0" fontId="30" fillId="14" borderId="0" xfId="0" applyFont="1" applyFill="1"/>
    <xf numFmtId="0" fontId="77" fillId="5" borderId="0" xfId="0" applyFont="1" applyFill="1"/>
    <xf numFmtId="0" fontId="30" fillId="11" borderId="0" xfId="0" applyFont="1" applyFill="1"/>
    <xf numFmtId="0" fontId="79" fillId="5" borderId="0" xfId="0" applyFont="1" applyFill="1" applyAlignment="1">
      <alignment horizontal="center" vertical="center"/>
    </xf>
    <xf numFmtId="0" fontId="7" fillId="12" borderId="95" xfId="0" applyFont="1" applyFill="1" applyBorder="1" applyAlignment="1">
      <alignment horizontal="center"/>
    </xf>
    <xf numFmtId="0" fontId="30" fillId="0" borderId="0" xfId="0" applyFont="1" applyAlignment="1">
      <alignment horizontal="center" wrapText="1"/>
    </xf>
    <xf numFmtId="170" fontId="7" fillId="0" borderId="0" xfId="0" applyNumberFormat="1" applyFont="1" applyAlignment="1">
      <alignment horizontal="center" vertical="center"/>
    </xf>
    <xf numFmtId="0" fontId="30" fillId="0" borderId="0" xfId="0" applyFont="1" applyAlignment="1">
      <alignment horizontal="center" vertical="center" wrapText="1"/>
    </xf>
    <xf numFmtId="0" fontId="7" fillId="0" borderId="0" xfId="0" applyFont="1" applyAlignment="1">
      <alignment vertical="top" wrapText="1"/>
    </xf>
    <xf numFmtId="0" fontId="73" fillId="0" borderId="0" xfId="0" applyFont="1" applyAlignment="1">
      <alignment horizontal="center" vertical="center"/>
    </xf>
    <xf numFmtId="0" fontId="11" fillId="0" borderId="0" xfId="0" applyFont="1" applyAlignment="1">
      <alignment vertical="top" wrapText="1"/>
    </xf>
    <xf numFmtId="0" fontId="28" fillId="11" borderId="17" xfId="0" applyFont="1" applyFill="1" applyBorder="1" applyAlignment="1">
      <alignment horizontal="right" vertical="center" wrapText="1"/>
    </xf>
    <xf numFmtId="0" fontId="28" fillId="11" borderId="18" xfId="0" applyFont="1" applyFill="1" applyBorder="1" applyAlignment="1">
      <alignment horizontal="right" vertical="center" wrapText="1"/>
    </xf>
    <xf numFmtId="14" fontId="11" fillId="13" borderId="28" xfId="0" applyNumberFormat="1" applyFont="1" applyFill="1" applyBorder="1" applyAlignment="1">
      <alignment horizontal="center" vertical="center"/>
    </xf>
    <xf numFmtId="14" fontId="11" fillId="13" borderId="26" xfId="0" applyNumberFormat="1" applyFont="1" applyFill="1" applyBorder="1" applyAlignment="1">
      <alignment horizontal="center" vertical="center"/>
    </xf>
    <xf numFmtId="0" fontId="7" fillId="18" borderId="0" xfId="0" applyFont="1" applyFill="1" applyAlignment="1">
      <alignment horizontal="center"/>
    </xf>
    <xf numFmtId="0" fontId="32" fillId="0" borderId="109" xfId="2" applyFont="1" applyBorder="1" applyAlignment="1">
      <alignment horizontal="left" vertical="center"/>
    </xf>
    <xf numFmtId="0" fontId="32" fillId="0" borderId="21" xfId="2" applyFont="1" applyBorder="1" applyAlignment="1">
      <alignment horizontal="left" vertical="center"/>
    </xf>
    <xf numFmtId="0" fontId="32" fillId="11" borderId="87" xfId="2" applyFont="1" applyFill="1" applyBorder="1" applyAlignment="1">
      <alignment horizontal="center" vertical="center"/>
    </xf>
    <xf numFmtId="0" fontId="32" fillId="11" borderId="88" xfId="2" applyFont="1" applyFill="1" applyBorder="1" applyAlignment="1">
      <alignment horizontal="center" vertical="center"/>
    </xf>
    <xf numFmtId="0" fontId="32" fillId="11" borderId="16" xfId="2" applyFont="1" applyFill="1" applyBorder="1" applyAlignment="1">
      <alignment horizontal="center" vertical="center"/>
    </xf>
    <xf numFmtId="0" fontId="32" fillId="11" borderId="15" xfId="2" applyFont="1" applyFill="1" applyBorder="1" applyAlignment="1">
      <alignment horizontal="center" vertical="center"/>
    </xf>
    <xf numFmtId="0" fontId="32" fillId="11" borderId="58" xfId="2" applyFont="1" applyFill="1" applyBorder="1" applyAlignment="1">
      <alignment horizontal="center" vertical="center"/>
    </xf>
    <xf numFmtId="0" fontId="32" fillId="11" borderId="59" xfId="2" applyFont="1" applyFill="1" applyBorder="1" applyAlignment="1">
      <alignment horizontal="center" vertical="center"/>
    </xf>
    <xf numFmtId="0" fontId="32" fillId="0" borderId="138" xfId="2" applyFont="1" applyBorder="1" applyAlignment="1">
      <alignment horizontal="left"/>
    </xf>
    <xf numFmtId="0" fontId="32" fillId="0" borderId="139" xfId="2" applyFont="1" applyBorder="1" applyAlignment="1">
      <alignment horizontal="left"/>
    </xf>
    <xf numFmtId="0" fontId="32" fillId="13" borderId="71" xfId="2" applyFont="1" applyFill="1" applyBorder="1" applyAlignment="1">
      <alignment horizontal="center"/>
    </xf>
    <xf numFmtId="0" fontId="32" fillId="0" borderId="112" xfId="2" applyFont="1" applyBorder="1" applyAlignment="1">
      <alignment horizontal="left"/>
    </xf>
    <xf numFmtId="0" fontId="32" fillId="0" borderId="108" xfId="2" applyFont="1" applyBorder="1" applyAlignment="1">
      <alignment horizontal="left"/>
    </xf>
    <xf numFmtId="0" fontId="32" fillId="0" borderId="121" xfId="2" applyFont="1" applyBorder="1" applyAlignment="1">
      <alignment horizontal="left" vertical="center"/>
    </xf>
    <xf numFmtId="0" fontId="32" fillId="0" borderId="119" xfId="2" applyFont="1" applyBorder="1" applyAlignment="1">
      <alignment horizontal="left" vertical="center"/>
    </xf>
    <xf numFmtId="0" fontId="32" fillId="0" borderId="122" xfId="2" applyFont="1" applyBorder="1" applyAlignment="1">
      <alignment horizontal="left" vertical="center"/>
    </xf>
    <xf numFmtId="0" fontId="32" fillId="0" borderId="86" xfId="2" applyFont="1" applyBorder="1" applyAlignment="1">
      <alignment horizontal="left" vertical="center"/>
    </xf>
    <xf numFmtId="0" fontId="32" fillId="11" borderId="120" xfId="2" applyFont="1" applyFill="1" applyBorder="1" applyAlignment="1">
      <alignment horizontal="center" vertical="center"/>
    </xf>
    <xf numFmtId="0" fontId="32" fillId="11" borderId="31" xfId="2" applyFont="1" applyFill="1" applyBorder="1" applyAlignment="1">
      <alignment horizontal="center" vertical="center"/>
    </xf>
    <xf numFmtId="0" fontId="32" fillId="13" borderId="47" xfId="2" applyFont="1" applyFill="1" applyBorder="1" applyAlignment="1">
      <alignment horizontal="center"/>
    </xf>
    <xf numFmtId="0" fontId="32" fillId="0" borderId="22" xfId="2" applyFont="1" applyBorder="1" applyAlignment="1">
      <alignment horizontal="left" vertical="center"/>
    </xf>
    <xf numFmtId="0" fontId="32" fillId="0" borderId="112" xfId="2" applyFont="1" applyBorder="1" applyAlignment="1">
      <alignment horizontal="center"/>
    </xf>
    <xf numFmtId="0" fontId="32" fillId="0" borderId="108" xfId="2" applyFont="1" applyBorder="1" applyAlignment="1">
      <alignment horizontal="center"/>
    </xf>
    <xf numFmtId="0" fontId="28" fillId="11" borderId="38" xfId="0" applyFont="1" applyFill="1" applyBorder="1" applyAlignment="1">
      <alignment horizontal="center" vertical="center" wrapText="1"/>
    </xf>
    <xf numFmtId="0" fontId="28" fillId="11" borderId="39" xfId="0" applyFont="1" applyFill="1" applyBorder="1" applyAlignment="1">
      <alignment horizontal="center" vertical="center" wrapText="1"/>
    </xf>
    <xf numFmtId="0" fontId="28" fillId="11" borderId="40" xfId="0" applyFont="1" applyFill="1" applyBorder="1" applyAlignment="1">
      <alignment horizontal="center" vertical="center" wrapText="1"/>
    </xf>
    <xf numFmtId="0" fontId="32" fillId="0" borderId="0" xfId="2" applyFont="1" applyAlignment="1">
      <alignment horizontal="center"/>
    </xf>
    <xf numFmtId="0" fontId="32" fillId="0" borderId="23" xfId="2" applyFont="1" applyBorder="1" applyAlignment="1">
      <alignment horizontal="center"/>
    </xf>
    <xf numFmtId="0" fontId="32" fillId="0" borderId="46" xfId="2" applyFont="1" applyBorder="1" applyAlignment="1">
      <alignment horizontal="center"/>
    </xf>
    <xf numFmtId="0" fontId="32" fillId="12" borderId="23" xfId="2" applyFont="1" applyFill="1" applyBorder="1" applyAlignment="1">
      <alignment horizontal="center"/>
    </xf>
    <xf numFmtId="0" fontId="32" fillId="12" borderId="21" xfId="2" applyFont="1" applyFill="1" applyBorder="1" applyAlignment="1">
      <alignment horizontal="center"/>
    </xf>
    <xf numFmtId="0" fontId="32" fillId="12" borderId="22" xfId="2" applyFont="1" applyFill="1" applyBorder="1" applyAlignment="1">
      <alignment horizontal="center"/>
    </xf>
    <xf numFmtId="0" fontId="32" fillId="13" borderId="48" xfId="2" applyFont="1" applyFill="1" applyBorder="1" applyAlignment="1">
      <alignment horizontal="center"/>
    </xf>
    <xf numFmtId="49" fontId="11" fillId="11" borderId="33" xfId="2" applyNumberFormat="1" applyFont="1" applyFill="1" applyBorder="1" applyAlignment="1">
      <alignment horizontal="center" vertical="center"/>
    </xf>
    <xf numFmtId="49" fontId="11" fillId="11" borderId="34" xfId="2" applyNumberFormat="1" applyFont="1" applyFill="1" applyBorder="1" applyAlignment="1">
      <alignment horizontal="center" vertical="center"/>
    </xf>
    <xf numFmtId="49" fontId="11" fillId="11" borderId="33" xfId="2" applyNumberFormat="1" applyFont="1" applyFill="1" applyBorder="1" applyAlignment="1">
      <alignment horizontal="center"/>
    </xf>
    <xf numFmtId="49" fontId="11" fillId="11" borderId="34" xfId="2" applyNumberFormat="1" applyFont="1" applyFill="1" applyBorder="1" applyAlignment="1">
      <alignment horizontal="center"/>
    </xf>
    <xf numFmtId="0" fontId="32" fillId="13" borderId="92" xfId="2" applyFont="1" applyFill="1" applyBorder="1" applyAlignment="1">
      <alignment horizontal="center"/>
    </xf>
    <xf numFmtId="0" fontId="32" fillId="13" borderId="62" xfId="2" applyFont="1" applyFill="1" applyBorder="1" applyAlignment="1">
      <alignment horizontal="center"/>
    </xf>
    <xf numFmtId="0" fontId="32" fillId="0" borderId="90" xfId="2" applyFont="1" applyBorder="1" applyAlignment="1">
      <alignment horizontal="left"/>
    </xf>
    <xf numFmtId="0" fontId="32" fillId="0" borderId="91" xfId="2" applyFont="1" applyBorder="1" applyAlignment="1">
      <alignment horizontal="left"/>
    </xf>
    <xf numFmtId="0" fontId="32" fillId="0" borderId="89" xfId="2" applyFont="1" applyBorder="1" applyAlignment="1">
      <alignment horizontal="left"/>
    </xf>
    <xf numFmtId="0" fontId="32" fillId="0" borderId="60" xfId="2" applyFont="1" applyBorder="1" applyAlignment="1">
      <alignment horizontal="left"/>
    </xf>
    <xf numFmtId="0" fontId="32" fillId="11" borderId="87" xfId="2" applyFont="1" applyFill="1" applyBorder="1" applyAlignment="1">
      <alignment horizontal="center"/>
    </xf>
    <xf numFmtId="0" fontId="32" fillId="11" borderId="88" xfId="2" applyFont="1" applyFill="1" applyBorder="1" applyAlignment="1">
      <alignment horizontal="center"/>
    </xf>
    <xf numFmtId="0" fontId="32" fillId="11" borderId="30" xfId="2" applyFont="1" applyFill="1" applyBorder="1" applyAlignment="1">
      <alignment horizontal="center"/>
    </xf>
    <xf numFmtId="0" fontId="32" fillId="11" borderId="35" xfId="2" applyFont="1" applyFill="1" applyBorder="1" applyAlignment="1">
      <alignment horizontal="center"/>
    </xf>
    <xf numFmtId="0" fontId="32" fillId="13" borderId="51" xfId="2" applyFont="1" applyFill="1" applyBorder="1" applyAlignment="1">
      <alignment horizontal="center"/>
    </xf>
    <xf numFmtId="0" fontId="32" fillId="0" borderId="116" xfId="2" applyFont="1" applyBorder="1" applyAlignment="1">
      <alignment horizontal="center" vertical="center"/>
    </xf>
    <xf numFmtId="0" fontId="32" fillId="0" borderId="0" xfId="2" applyFont="1" applyAlignment="1">
      <alignment horizontal="center" vertical="center"/>
    </xf>
    <xf numFmtId="0" fontId="32" fillId="0" borderId="117" xfId="2" applyFont="1" applyBorder="1" applyAlignment="1">
      <alignment horizontal="center" vertical="center"/>
    </xf>
    <xf numFmtId="0" fontId="32" fillId="0" borderId="54" xfId="2" applyFont="1" applyBorder="1" applyAlignment="1">
      <alignment horizontal="center" vertical="center"/>
    </xf>
    <xf numFmtId="0" fontId="32" fillId="0" borderId="51" xfId="2" applyFont="1" applyBorder="1" applyAlignment="1">
      <alignment horizontal="center" vertical="center"/>
    </xf>
    <xf numFmtId="0" fontId="32" fillId="0" borderId="52" xfId="2" applyFont="1" applyBorder="1" applyAlignment="1">
      <alignment horizontal="center" vertical="center"/>
    </xf>
    <xf numFmtId="0" fontId="32" fillId="0" borderId="62" xfId="2" applyFont="1" applyBorder="1" applyAlignment="1">
      <alignment horizontal="center" vertical="center"/>
    </xf>
    <xf numFmtId="0" fontId="32" fillId="13" borderId="124" xfId="2" applyFont="1" applyFill="1" applyBorder="1" applyAlignment="1">
      <alignment horizontal="left"/>
    </xf>
    <xf numFmtId="0" fontId="32" fillId="13" borderId="125" xfId="2" applyFont="1" applyFill="1" applyBorder="1" applyAlignment="1">
      <alignment horizontal="left"/>
    </xf>
    <xf numFmtId="0" fontId="32" fillId="13" borderId="126" xfId="2" applyFont="1" applyFill="1" applyBorder="1" applyAlignment="1">
      <alignment horizontal="left"/>
    </xf>
    <xf numFmtId="0" fontId="32" fillId="0" borderId="109" xfId="2" applyFont="1" applyBorder="1" applyAlignment="1">
      <alignment horizontal="left"/>
    </xf>
    <xf numFmtId="0" fontId="32" fillId="0" borderId="21" xfId="2" applyFont="1" applyBorder="1" applyAlignment="1">
      <alignment horizontal="left"/>
    </xf>
    <xf numFmtId="0" fontId="32" fillId="0" borderId="22" xfId="2" applyFont="1" applyBorder="1" applyAlignment="1">
      <alignment horizontal="left"/>
    </xf>
    <xf numFmtId="0" fontId="33" fillId="0" borderId="0" xfId="2" applyFont="1" applyAlignment="1">
      <alignment horizontal="left"/>
    </xf>
    <xf numFmtId="0" fontId="33" fillId="0" borderId="118" xfId="2" applyFont="1" applyBorder="1" applyAlignment="1">
      <alignment horizontal="left"/>
    </xf>
    <xf numFmtId="0" fontId="33" fillId="0" borderId="26" xfId="2" applyFont="1" applyBorder="1" applyAlignment="1">
      <alignment horizontal="left"/>
    </xf>
    <xf numFmtId="0" fontId="32" fillId="13" borderId="124" xfId="2" applyFont="1" applyFill="1" applyBorder="1" applyAlignment="1">
      <alignment horizontal="center"/>
    </xf>
    <xf numFmtId="0" fontId="32" fillId="13" borderId="125" xfId="2" applyFont="1" applyFill="1" applyBorder="1" applyAlignment="1">
      <alignment horizontal="center"/>
    </xf>
    <xf numFmtId="0" fontId="32" fillId="11" borderId="143" xfId="2" applyFont="1" applyFill="1" applyBorder="1" applyAlignment="1">
      <alignment horizontal="center"/>
    </xf>
    <xf numFmtId="0" fontId="32" fillId="11" borderId="52" xfId="2" applyFont="1" applyFill="1" applyBorder="1" applyAlignment="1">
      <alignment horizontal="center"/>
    </xf>
    <xf numFmtId="0" fontId="32" fillId="13" borderId="112" xfId="2" applyFont="1" applyFill="1" applyBorder="1" applyAlignment="1">
      <alignment horizontal="center"/>
    </xf>
    <xf numFmtId="0" fontId="32" fillId="13" borderId="135" xfId="2" applyFont="1" applyFill="1" applyBorder="1" applyAlignment="1">
      <alignment horizontal="center"/>
    </xf>
    <xf numFmtId="0" fontId="32" fillId="13" borderId="136" xfId="2" applyFont="1" applyFill="1" applyBorder="1" applyAlignment="1">
      <alignment horizontal="center"/>
    </xf>
    <xf numFmtId="0" fontId="32" fillId="13" borderId="126" xfId="2" applyFont="1" applyFill="1" applyBorder="1" applyAlignment="1">
      <alignment horizontal="center"/>
    </xf>
    <xf numFmtId="0" fontId="32" fillId="0" borderId="109" xfId="2" applyFont="1" applyBorder="1" applyAlignment="1">
      <alignment horizontal="center"/>
    </xf>
    <xf numFmtId="0" fontId="32" fillId="0" borderId="22" xfId="2" applyFont="1" applyBorder="1" applyAlignment="1">
      <alignment horizontal="center"/>
    </xf>
    <xf numFmtId="0" fontId="67" fillId="11" borderId="19" xfId="0" applyFont="1" applyFill="1" applyBorder="1" applyAlignment="1">
      <alignment horizontal="center" vertical="center" wrapText="1"/>
    </xf>
    <xf numFmtId="0" fontId="67" fillId="11" borderId="0" xfId="0" applyFont="1" applyFill="1" applyAlignment="1">
      <alignment horizontal="center" vertical="center" wrapText="1"/>
    </xf>
    <xf numFmtId="4" fontId="4" fillId="9" borderId="0" xfId="0" applyNumberFormat="1" applyFont="1" applyFill="1" applyAlignment="1">
      <alignment horizontal="center"/>
    </xf>
    <xf numFmtId="4" fontId="4" fillId="9" borderId="30" xfId="0" applyNumberFormat="1" applyFont="1" applyFill="1" applyBorder="1" applyAlignment="1">
      <alignment horizontal="center"/>
    </xf>
    <xf numFmtId="164" fontId="12" fillId="7" borderId="0" xfId="5" applyFont="1" applyFill="1" applyAlignment="1">
      <alignment horizontal="right" vertical="top" wrapText="1"/>
    </xf>
    <xf numFmtId="4" fontId="7" fillId="0" borderId="0" xfId="0" applyNumberFormat="1" applyFont="1" applyAlignment="1">
      <alignment horizontal="right"/>
    </xf>
    <xf numFmtId="0" fontId="28" fillId="11" borderId="19" xfId="0" applyFont="1" applyFill="1" applyBorder="1" applyAlignment="1">
      <alignment horizontal="center" vertical="center" wrapText="1"/>
    </xf>
    <xf numFmtId="0" fontId="28" fillId="11" borderId="0" xfId="0" applyFont="1" applyFill="1" applyAlignment="1">
      <alignment horizontal="center" vertical="center" wrapText="1"/>
    </xf>
    <xf numFmtId="0" fontId="7" fillId="0" borderId="0" xfId="0" applyFont="1" applyAlignment="1">
      <alignment horizontal="center"/>
    </xf>
    <xf numFmtId="0" fontId="49" fillId="0" borderId="0" xfId="2" applyFont="1" applyAlignment="1">
      <alignment horizontal="center" vertical="center" wrapText="1"/>
    </xf>
    <xf numFmtId="0" fontId="34" fillId="0" borderId="95" xfId="0" applyFont="1" applyBorder="1" applyAlignment="1">
      <alignment horizontal="center" vertical="center"/>
    </xf>
    <xf numFmtId="0" fontId="7" fillId="0" borderId="95" xfId="0" applyFont="1" applyBorder="1" applyAlignment="1">
      <alignment horizontal="center" vertical="center"/>
    </xf>
    <xf numFmtId="164" fontId="12" fillId="0" borderId="3" xfId="5" applyFont="1" applyBorder="1" applyAlignment="1">
      <alignment horizontal="center" vertical="center"/>
    </xf>
    <xf numFmtId="164" fontId="12" fillId="0" borderId="4" xfId="5" applyFont="1" applyBorder="1" applyAlignment="1">
      <alignment horizontal="center" vertical="center"/>
    </xf>
    <xf numFmtId="0" fontId="32" fillId="3" borderId="0" xfId="2" applyFont="1" applyFill="1"/>
    <xf numFmtId="0" fontId="32" fillId="3" borderId="3" xfId="2" applyFont="1" applyFill="1" applyBorder="1"/>
    <xf numFmtId="0" fontId="45" fillId="3" borderId="0" xfId="2" applyFont="1" applyFill="1"/>
    <xf numFmtId="0" fontId="33" fillId="3" borderId="0" xfId="2" applyFont="1" applyFill="1"/>
    <xf numFmtId="0" fontId="33" fillId="3" borderId="0" xfId="2" applyFont="1" applyFill="1" applyAlignment="1">
      <alignment horizontal="right"/>
    </xf>
    <xf numFmtId="0" fontId="32" fillId="3" borderId="0" xfId="2" applyFont="1" applyFill="1" applyAlignment="1">
      <alignment horizontal="center"/>
    </xf>
    <xf numFmtId="0" fontId="32" fillId="3" borderId="0" xfId="2" applyFont="1" applyFill="1" applyAlignment="1">
      <alignment horizontal="center" vertical="center"/>
    </xf>
    <xf numFmtId="0" fontId="56" fillId="3" borderId="0" xfId="2" applyFont="1" applyFill="1" applyAlignment="1">
      <alignment horizontal="center"/>
    </xf>
    <xf numFmtId="1" fontId="56" fillId="3" borderId="0" xfId="2" applyNumberFormat="1" applyFont="1" applyFill="1" applyAlignment="1">
      <alignment horizontal="center"/>
    </xf>
    <xf numFmtId="0" fontId="32" fillId="3" borderId="70" xfId="2" applyFont="1" applyFill="1" applyBorder="1"/>
    <xf numFmtId="0" fontId="32" fillId="3" borderId="61" xfId="2" applyFont="1" applyFill="1" applyBorder="1"/>
    <xf numFmtId="0" fontId="32" fillId="3" borderId="72" xfId="2" applyFont="1" applyFill="1" applyBorder="1"/>
    <xf numFmtId="0" fontId="32" fillId="3" borderId="121" xfId="2" applyFont="1" applyFill="1" applyBorder="1"/>
    <xf numFmtId="0" fontId="32" fillId="3" borderId="24" xfId="2" applyFont="1" applyFill="1" applyBorder="1"/>
    <xf numFmtId="0" fontId="32" fillId="3" borderId="0" xfId="2" applyFont="1" applyFill="1" applyAlignment="1">
      <alignment horizontal="center"/>
    </xf>
    <xf numFmtId="0" fontId="47" fillId="3" borderId="0" xfId="2" applyFont="1" applyFill="1" applyAlignment="1">
      <alignment horizontal="right"/>
    </xf>
    <xf numFmtId="0" fontId="50" fillId="3" borderId="36" xfId="2" applyFont="1" applyFill="1" applyBorder="1"/>
    <xf numFmtId="0" fontId="50" fillId="3" borderId="37" xfId="2" applyFont="1" applyFill="1" applyBorder="1"/>
    <xf numFmtId="0" fontId="7" fillId="3" borderId="0" xfId="2" applyFont="1" applyFill="1" applyAlignment="1">
      <alignment horizontal="left"/>
    </xf>
    <xf numFmtId="0" fontId="32" fillId="3" borderId="0" xfId="2" applyFont="1" applyFill="1" applyAlignment="1">
      <alignment horizontal="left"/>
    </xf>
    <xf numFmtId="2" fontId="40" fillId="3" borderId="0" xfId="2" applyNumberFormat="1" applyFont="1" applyFill="1"/>
    <xf numFmtId="0" fontId="33" fillId="3" borderId="0" xfId="2" applyFont="1" applyFill="1" applyAlignment="1">
      <alignment horizontal="center"/>
    </xf>
    <xf numFmtId="0" fontId="32" fillId="3" borderId="29" xfId="2" applyFont="1" applyFill="1" applyBorder="1"/>
    <xf numFmtId="0" fontId="32" fillId="3" borderId="28" xfId="2" applyFont="1" applyFill="1" applyBorder="1"/>
    <xf numFmtId="0" fontId="11" fillId="3" borderId="74" xfId="2" applyFont="1" applyFill="1" applyBorder="1" applyAlignment="1">
      <alignment horizontal="center"/>
    </xf>
    <xf numFmtId="0" fontId="32" fillId="3" borderId="42" xfId="2" applyFont="1" applyFill="1" applyBorder="1"/>
    <xf numFmtId="0" fontId="32" fillId="3" borderId="0" xfId="2" applyFont="1" applyFill="1" applyAlignment="1">
      <alignment horizontal="right"/>
    </xf>
    <xf numFmtId="0" fontId="32" fillId="3" borderId="73" xfId="2" applyFont="1" applyFill="1" applyBorder="1"/>
    <xf numFmtId="0" fontId="32" fillId="3" borderId="73" xfId="2" applyFont="1" applyFill="1" applyBorder="1" applyAlignment="1">
      <alignment horizontal="right"/>
    </xf>
  </cellXfs>
  <cellStyles count="9">
    <cellStyle name="Euro" xfId="1" xr:uid="{00000000-0005-0000-0000-000000000000}"/>
    <cellStyle name="Euro 2" xfId="4" xr:uid="{00000000-0005-0000-0000-000001000000}"/>
    <cellStyle name="Millares" xfId="8" builtinId="3"/>
    <cellStyle name="Normal" xfId="0" builtinId="0"/>
    <cellStyle name="Normal 2" xfId="3" xr:uid="{00000000-0005-0000-0000-000003000000}"/>
    <cellStyle name="Normal 2 2" xfId="5" xr:uid="{0D83E2B7-6736-447E-BDB8-8629C9FC1A2A}"/>
    <cellStyle name="Normal_071987 Paneles SICH-01-Calculo OFERTAS 2006 (VIÑAS SALA POLIVALENTE)" xfId="2" xr:uid="{00000000-0005-0000-0000-000004000000}"/>
    <cellStyle name="Normal_PRICE LIST" xfId="7" xr:uid="{8200E089-3940-4C84-80EF-EEB0B0F53384}"/>
    <cellStyle name="Porcentaje" xfId="6" builtinId="5"/>
  </cellStyles>
  <dxfs count="94">
    <dxf>
      <fill>
        <patternFill>
          <bgColor rgb="FF00B050"/>
        </patternFill>
      </fill>
    </dxf>
    <dxf>
      <fill>
        <patternFill>
          <bgColor rgb="FF92D050"/>
        </patternFill>
      </fill>
    </dxf>
    <dxf>
      <fill>
        <patternFill>
          <bgColor rgb="FF00B050"/>
        </patternFill>
      </fill>
    </dxf>
    <dxf>
      <fill>
        <patternFill>
          <bgColor rgb="FF7030A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F0"/>
        </patternFill>
      </fill>
    </dxf>
    <dxf>
      <font>
        <b val="0"/>
        <i val="0"/>
      </font>
      <fill>
        <patternFill>
          <bgColor rgb="FF00B050"/>
        </patternFill>
      </fill>
    </dxf>
    <dxf>
      <font>
        <strike val="0"/>
      </font>
      <numFmt numFmtId="0" formatCode="General"/>
      <fill>
        <patternFill patternType="solid">
          <fgColor rgb="FFFF0000"/>
          <bgColor rgb="FFFF0000"/>
        </patternFill>
      </fill>
    </dxf>
    <dxf>
      <fill>
        <patternFill>
          <bgColor rgb="FF92D050"/>
        </patternFill>
      </fill>
    </dxf>
    <dxf>
      <fill>
        <patternFill>
          <bgColor rgb="FF00B050"/>
        </patternFill>
      </fill>
    </dxf>
    <dxf>
      <fill>
        <patternFill>
          <bgColor rgb="FF7030A0"/>
        </patternFill>
      </fill>
    </dxf>
    <dxf>
      <fill>
        <patternFill>
          <bgColor rgb="FF00B050"/>
        </patternFill>
      </fill>
    </dxf>
    <dxf>
      <fill>
        <patternFill>
          <bgColor rgb="FF00B050"/>
        </patternFill>
      </fill>
    </dxf>
    <dxf>
      <fill>
        <patternFill>
          <bgColor rgb="FF00B050"/>
        </patternFill>
      </fill>
    </dxf>
    <dxf>
      <fill>
        <patternFill>
          <bgColor rgb="FF92D050"/>
        </patternFill>
      </fill>
    </dxf>
    <dxf>
      <fill>
        <patternFill>
          <bgColor rgb="FF00B050"/>
        </patternFill>
      </fill>
    </dxf>
    <dxf>
      <fill>
        <patternFill>
          <bgColor rgb="FF7030A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92D050"/>
        </patternFill>
      </fill>
    </dxf>
    <dxf>
      <fill>
        <patternFill>
          <bgColor rgb="FF00B050"/>
        </patternFill>
      </fill>
    </dxf>
    <dxf>
      <fill>
        <patternFill>
          <bgColor rgb="FF7030A0"/>
        </patternFill>
      </fill>
    </dxf>
    <dxf>
      <fill>
        <patternFill>
          <bgColor rgb="FF00B050"/>
        </patternFill>
      </fill>
    </dxf>
    <dxf>
      <fill>
        <patternFill>
          <bgColor rgb="FF00B050"/>
        </patternFill>
      </fill>
    </dxf>
    <dxf>
      <fill>
        <patternFill>
          <bgColor rgb="FF00B050"/>
        </patternFill>
      </fill>
    </dxf>
    <dxf>
      <fill>
        <patternFill>
          <bgColor rgb="FF00B0F0"/>
        </patternFill>
      </fill>
    </dxf>
    <dxf>
      <font>
        <b val="0"/>
        <i val="0"/>
      </font>
      <fill>
        <patternFill>
          <bgColor rgb="FF00B050"/>
        </patternFill>
      </fill>
    </dxf>
    <dxf>
      <font>
        <strike val="0"/>
      </font>
      <numFmt numFmtId="0" formatCode="General"/>
      <fill>
        <patternFill patternType="solid">
          <fgColor rgb="FFFF0000"/>
          <bgColor rgb="FFFF0000"/>
        </patternFill>
      </fill>
    </dxf>
    <dxf>
      <fill>
        <patternFill>
          <bgColor rgb="FF92D050"/>
        </patternFill>
      </fill>
    </dxf>
    <dxf>
      <fill>
        <patternFill>
          <bgColor rgb="FF00B050"/>
        </patternFill>
      </fill>
    </dxf>
    <dxf>
      <fill>
        <patternFill>
          <bgColor rgb="FF7030A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92D050"/>
        </patternFill>
      </fill>
    </dxf>
    <dxf>
      <fill>
        <patternFill>
          <bgColor rgb="FF00B050"/>
        </patternFill>
      </fill>
    </dxf>
    <dxf>
      <fill>
        <patternFill>
          <bgColor rgb="FF7030A0"/>
        </patternFill>
      </fill>
    </dxf>
    <dxf>
      <fill>
        <patternFill>
          <bgColor rgb="FF00B0F0"/>
        </patternFill>
      </fill>
    </dxf>
    <dxf>
      <font>
        <b val="0"/>
        <i val="0"/>
      </font>
      <fill>
        <patternFill>
          <bgColor rgb="FF00B050"/>
        </patternFill>
      </fill>
    </dxf>
    <dxf>
      <font>
        <strike val="0"/>
      </font>
      <numFmt numFmtId="0" formatCode="General"/>
      <fill>
        <patternFill patternType="solid">
          <fgColor rgb="FFFF0000"/>
          <bgColor rgb="FFFF0000"/>
        </patternFill>
      </fill>
    </dxf>
    <dxf>
      <fill>
        <patternFill>
          <bgColor rgb="FF00B050"/>
        </patternFill>
      </fill>
    </dxf>
    <dxf>
      <fill>
        <patternFill>
          <bgColor rgb="FF92D050"/>
        </patternFill>
      </fill>
    </dxf>
    <dxf>
      <fill>
        <patternFill>
          <bgColor rgb="FF00B050"/>
        </patternFill>
      </fill>
    </dxf>
    <dxf>
      <fill>
        <patternFill>
          <bgColor rgb="FF7030A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F0"/>
        </patternFill>
      </fill>
    </dxf>
    <dxf>
      <font>
        <b val="0"/>
        <i val="0"/>
      </font>
      <fill>
        <patternFill>
          <bgColor rgb="FF00B050"/>
        </patternFill>
      </fill>
    </dxf>
    <dxf>
      <font>
        <strike val="0"/>
      </font>
      <numFmt numFmtId="0" formatCode="General"/>
      <fill>
        <patternFill patternType="solid">
          <fgColor rgb="FFFF0000"/>
          <bgColor rgb="FFFF0000"/>
        </patternFill>
      </fill>
    </dxf>
    <dxf>
      <fill>
        <patternFill>
          <bgColor rgb="FF92D050"/>
        </patternFill>
      </fill>
    </dxf>
    <dxf>
      <fill>
        <patternFill>
          <bgColor rgb="FF00B050"/>
        </patternFill>
      </fill>
    </dxf>
    <dxf>
      <fill>
        <patternFill>
          <bgColor rgb="FF7030A0"/>
        </patternFill>
      </fill>
    </dxf>
    <dxf>
      <fill>
        <patternFill>
          <bgColor rgb="FF00B050"/>
        </patternFill>
      </fill>
    </dxf>
    <dxf>
      <fill>
        <patternFill>
          <bgColor rgb="FF00B050"/>
        </patternFill>
      </fill>
    </dxf>
  </dxfs>
  <tableStyles count="1" defaultTableStyle="TableStyleMedium9" defaultPivotStyle="PivotStyleLight16">
    <tableStyle name="Invisible" pivot="0" table="0" count="0" xr9:uid="{46FC7310-B770-4AA6-A74A-CA3F732AF2AF}"/>
  </tableStyles>
  <colors>
    <mruColors>
      <color rgb="FFFFFF99"/>
      <color rgb="FF99FF99"/>
      <color rgb="FFFFFFFF"/>
      <color rgb="FF6D89C1"/>
      <color rgb="FF386294"/>
      <color rgb="FFFFCC99"/>
      <color rgb="FFFF9966"/>
      <color rgb="FFE4A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png"/><Relationship Id="rId16" Type="http://schemas.openxmlformats.org/officeDocument/2006/relationships/image" Target="../media/image16.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png"/><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3.xml.rels><?xml version="1.0" encoding="UTF-8" standalone="yes"?>
<Relationships xmlns="http://schemas.openxmlformats.org/package/2006/relationships"><Relationship Id="rId8" Type="http://schemas.openxmlformats.org/officeDocument/2006/relationships/image" Target="../media/image6.jpeg"/><Relationship Id="rId13" Type="http://schemas.openxmlformats.org/officeDocument/2006/relationships/image" Target="../media/image11.jpeg"/><Relationship Id="rId3" Type="http://schemas.openxmlformats.org/officeDocument/2006/relationships/image" Target="../media/image1.png"/><Relationship Id="rId7" Type="http://schemas.openxmlformats.org/officeDocument/2006/relationships/image" Target="../media/image5.png"/><Relationship Id="rId12" Type="http://schemas.openxmlformats.org/officeDocument/2006/relationships/image" Target="../media/image10.jpeg"/><Relationship Id="rId2" Type="http://schemas.openxmlformats.org/officeDocument/2006/relationships/image" Target="../media/image13.png"/><Relationship Id="rId16" Type="http://schemas.openxmlformats.org/officeDocument/2006/relationships/image" Target="../media/image16.jpeg"/><Relationship Id="rId1" Type="http://schemas.openxmlformats.org/officeDocument/2006/relationships/image" Target="../media/image14.png"/><Relationship Id="rId6" Type="http://schemas.openxmlformats.org/officeDocument/2006/relationships/image" Target="../media/image4.png"/><Relationship Id="rId11" Type="http://schemas.openxmlformats.org/officeDocument/2006/relationships/image" Target="../media/image9.jpeg"/><Relationship Id="rId5" Type="http://schemas.openxmlformats.org/officeDocument/2006/relationships/image" Target="../media/image3.png"/><Relationship Id="rId15" Type="http://schemas.openxmlformats.org/officeDocument/2006/relationships/image" Target="../media/image15.jpeg"/><Relationship Id="rId10" Type="http://schemas.openxmlformats.org/officeDocument/2006/relationships/image" Target="../media/image8.jpeg"/><Relationship Id="rId4" Type="http://schemas.openxmlformats.org/officeDocument/2006/relationships/image" Target="../media/image2.png"/><Relationship Id="rId9" Type="http://schemas.openxmlformats.org/officeDocument/2006/relationships/image" Target="../media/image7.jpeg"/><Relationship Id="rId14" Type="http://schemas.openxmlformats.org/officeDocument/2006/relationships/image" Target="../media/image1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5.xml.rels><?xml version="1.0" encoding="UTF-8" standalone="yes"?>
<Relationships xmlns="http://schemas.openxmlformats.org/package/2006/relationships"><Relationship Id="rId26" Type="http://schemas.openxmlformats.org/officeDocument/2006/relationships/image" Target="../media/image40.png"/><Relationship Id="rId21" Type="http://schemas.openxmlformats.org/officeDocument/2006/relationships/image" Target="../media/image35.png"/><Relationship Id="rId42" Type="http://schemas.microsoft.com/office/2007/relationships/hdphoto" Target="../media/hdphoto6.wdp"/><Relationship Id="rId47" Type="http://schemas.openxmlformats.org/officeDocument/2006/relationships/image" Target="../media/image57.png"/><Relationship Id="rId63" Type="http://schemas.openxmlformats.org/officeDocument/2006/relationships/image" Target="../media/image71.png"/><Relationship Id="rId68" Type="http://schemas.openxmlformats.org/officeDocument/2006/relationships/image" Target="../media/image76.jpeg"/><Relationship Id="rId2" Type="http://schemas.openxmlformats.org/officeDocument/2006/relationships/image" Target="../media/image19.png"/><Relationship Id="rId16" Type="http://schemas.openxmlformats.org/officeDocument/2006/relationships/image" Target="../media/image30.png"/><Relationship Id="rId29" Type="http://schemas.openxmlformats.org/officeDocument/2006/relationships/image" Target="../media/image43.jpeg"/><Relationship Id="rId11" Type="http://schemas.openxmlformats.org/officeDocument/2006/relationships/image" Target="../media/image26.png"/><Relationship Id="rId24" Type="http://schemas.openxmlformats.org/officeDocument/2006/relationships/image" Target="../media/image38.png"/><Relationship Id="rId32" Type="http://schemas.openxmlformats.org/officeDocument/2006/relationships/image" Target="../media/image46.png"/><Relationship Id="rId37" Type="http://schemas.openxmlformats.org/officeDocument/2006/relationships/image" Target="../media/image51.png"/><Relationship Id="rId40" Type="http://schemas.microsoft.com/office/2007/relationships/hdphoto" Target="../media/hdphoto5.wdp"/><Relationship Id="rId45" Type="http://schemas.openxmlformats.org/officeDocument/2006/relationships/image" Target="../media/image55.png"/><Relationship Id="rId53" Type="http://schemas.openxmlformats.org/officeDocument/2006/relationships/image" Target="../media/image62.png"/><Relationship Id="rId58" Type="http://schemas.openxmlformats.org/officeDocument/2006/relationships/image" Target="../media/image67.png"/><Relationship Id="rId66" Type="http://schemas.openxmlformats.org/officeDocument/2006/relationships/image" Target="../media/image74.jpeg"/><Relationship Id="rId74" Type="http://schemas.openxmlformats.org/officeDocument/2006/relationships/image" Target="../media/image82.png"/><Relationship Id="rId5" Type="http://schemas.openxmlformats.org/officeDocument/2006/relationships/image" Target="../media/image21.png"/><Relationship Id="rId61" Type="http://schemas.openxmlformats.org/officeDocument/2006/relationships/image" Target="../media/image70.png"/><Relationship Id="rId19" Type="http://schemas.openxmlformats.org/officeDocument/2006/relationships/image" Target="../media/image33.png"/><Relationship Id="rId14" Type="http://schemas.microsoft.com/office/2007/relationships/hdphoto" Target="../media/hdphoto3.wdp"/><Relationship Id="rId22" Type="http://schemas.openxmlformats.org/officeDocument/2006/relationships/image" Target="../media/image36.png"/><Relationship Id="rId27" Type="http://schemas.openxmlformats.org/officeDocument/2006/relationships/image" Target="../media/image41.png"/><Relationship Id="rId30" Type="http://schemas.openxmlformats.org/officeDocument/2006/relationships/image" Target="../media/image44.png"/><Relationship Id="rId35" Type="http://schemas.openxmlformats.org/officeDocument/2006/relationships/image" Target="../media/image49.png"/><Relationship Id="rId43" Type="http://schemas.openxmlformats.org/officeDocument/2006/relationships/image" Target="../media/image54.png"/><Relationship Id="rId48" Type="http://schemas.openxmlformats.org/officeDocument/2006/relationships/image" Target="../media/image58.png"/><Relationship Id="rId56" Type="http://schemas.openxmlformats.org/officeDocument/2006/relationships/image" Target="../media/image65.png"/><Relationship Id="rId64" Type="http://schemas.openxmlformats.org/officeDocument/2006/relationships/image" Target="../media/image72.png"/><Relationship Id="rId69" Type="http://schemas.openxmlformats.org/officeDocument/2006/relationships/image" Target="../media/image77.png"/><Relationship Id="rId8" Type="http://schemas.openxmlformats.org/officeDocument/2006/relationships/image" Target="../media/image23.jpeg"/><Relationship Id="rId51" Type="http://schemas.openxmlformats.org/officeDocument/2006/relationships/image" Target="../media/image61.png"/><Relationship Id="rId72" Type="http://schemas.openxmlformats.org/officeDocument/2006/relationships/image" Target="../media/image80.jpeg"/><Relationship Id="rId3" Type="http://schemas.openxmlformats.org/officeDocument/2006/relationships/image" Target="../media/image20.png"/><Relationship Id="rId12" Type="http://schemas.openxmlformats.org/officeDocument/2006/relationships/image" Target="../media/image27.png"/><Relationship Id="rId17" Type="http://schemas.openxmlformats.org/officeDocument/2006/relationships/image" Target="../media/image31.png"/><Relationship Id="rId25" Type="http://schemas.openxmlformats.org/officeDocument/2006/relationships/image" Target="../media/image39.png"/><Relationship Id="rId33" Type="http://schemas.openxmlformats.org/officeDocument/2006/relationships/image" Target="../media/image47.png"/><Relationship Id="rId38" Type="http://schemas.microsoft.com/office/2007/relationships/hdphoto" Target="../media/hdphoto4.wdp"/><Relationship Id="rId46" Type="http://schemas.openxmlformats.org/officeDocument/2006/relationships/image" Target="../media/image56.png"/><Relationship Id="rId59" Type="http://schemas.openxmlformats.org/officeDocument/2006/relationships/image" Target="../media/image68.png"/><Relationship Id="rId67" Type="http://schemas.openxmlformats.org/officeDocument/2006/relationships/image" Target="../media/image75.jpeg"/><Relationship Id="rId20" Type="http://schemas.openxmlformats.org/officeDocument/2006/relationships/image" Target="../media/image34.png"/><Relationship Id="rId41" Type="http://schemas.openxmlformats.org/officeDocument/2006/relationships/image" Target="../media/image53.png"/><Relationship Id="rId54" Type="http://schemas.openxmlformats.org/officeDocument/2006/relationships/image" Target="../media/image63.png"/><Relationship Id="rId62" Type="http://schemas.microsoft.com/office/2007/relationships/hdphoto" Target="../media/hdphoto9.wdp"/><Relationship Id="rId70" Type="http://schemas.openxmlformats.org/officeDocument/2006/relationships/image" Target="../media/image78.jpeg"/><Relationship Id="rId75" Type="http://schemas.openxmlformats.org/officeDocument/2006/relationships/image" Target="../media/image83.jpeg"/><Relationship Id="rId1" Type="http://schemas.openxmlformats.org/officeDocument/2006/relationships/image" Target="../media/image16.jpeg"/><Relationship Id="rId6" Type="http://schemas.microsoft.com/office/2007/relationships/hdphoto" Target="../media/hdphoto2.wdp"/><Relationship Id="rId15" Type="http://schemas.openxmlformats.org/officeDocument/2006/relationships/image" Target="../media/image29.png"/><Relationship Id="rId23" Type="http://schemas.openxmlformats.org/officeDocument/2006/relationships/image" Target="../media/image37.png"/><Relationship Id="rId28" Type="http://schemas.openxmlformats.org/officeDocument/2006/relationships/image" Target="../media/image42.jpeg"/><Relationship Id="rId36" Type="http://schemas.openxmlformats.org/officeDocument/2006/relationships/image" Target="../media/image50.png"/><Relationship Id="rId49" Type="http://schemas.openxmlformats.org/officeDocument/2006/relationships/image" Target="../media/image59.png"/><Relationship Id="rId57" Type="http://schemas.openxmlformats.org/officeDocument/2006/relationships/image" Target="../media/image66.png"/><Relationship Id="rId10" Type="http://schemas.openxmlformats.org/officeDocument/2006/relationships/image" Target="../media/image25.png"/><Relationship Id="rId31" Type="http://schemas.openxmlformats.org/officeDocument/2006/relationships/image" Target="../media/image45.png"/><Relationship Id="rId44" Type="http://schemas.microsoft.com/office/2007/relationships/hdphoto" Target="../media/hdphoto7.wdp"/><Relationship Id="rId52" Type="http://schemas.microsoft.com/office/2007/relationships/hdphoto" Target="../media/hdphoto8.wdp"/><Relationship Id="rId60" Type="http://schemas.openxmlformats.org/officeDocument/2006/relationships/image" Target="../media/image69.png"/><Relationship Id="rId65" Type="http://schemas.openxmlformats.org/officeDocument/2006/relationships/image" Target="../media/image73.jpeg"/><Relationship Id="rId73" Type="http://schemas.openxmlformats.org/officeDocument/2006/relationships/image" Target="../media/image81.jpeg"/><Relationship Id="rId4" Type="http://schemas.microsoft.com/office/2007/relationships/hdphoto" Target="../media/hdphoto1.wdp"/><Relationship Id="rId9" Type="http://schemas.openxmlformats.org/officeDocument/2006/relationships/image" Target="../media/image24.png"/><Relationship Id="rId13" Type="http://schemas.openxmlformats.org/officeDocument/2006/relationships/image" Target="../media/image28.png"/><Relationship Id="rId18" Type="http://schemas.openxmlformats.org/officeDocument/2006/relationships/image" Target="../media/image32.png"/><Relationship Id="rId39" Type="http://schemas.openxmlformats.org/officeDocument/2006/relationships/image" Target="../media/image52.png"/><Relationship Id="rId34" Type="http://schemas.openxmlformats.org/officeDocument/2006/relationships/image" Target="../media/image48.png"/><Relationship Id="rId50" Type="http://schemas.openxmlformats.org/officeDocument/2006/relationships/image" Target="../media/image60.png"/><Relationship Id="rId55" Type="http://schemas.openxmlformats.org/officeDocument/2006/relationships/image" Target="../media/image64.png"/><Relationship Id="rId76" Type="http://schemas.openxmlformats.org/officeDocument/2006/relationships/image" Target="../media/image84.jpeg"/><Relationship Id="rId7" Type="http://schemas.openxmlformats.org/officeDocument/2006/relationships/image" Target="../media/image22.png"/><Relationship Id="rId71" Type="http://schemas.openxmlformats.org/officeDocument/2006/relationships/image" Target="../media/image79.png"/></Relationships>
</file>

<file path=xl/drawings/_rels/drawing6.xml.rels><?xml version="1.0" encoding="UTF-8" standalone="yes"?>
<Relationships xmlns="http://schemas.openxmlformats.org/package/2006/relationships"><Relationship Id="rId26" Type="http://schemas.openxmlformats.org/officeDocument/2006/relationships/image" Target="../media/image50.png"/><Relationship Id="rId21" Type="http://schemas.openxmlformats.org/officeDocument/2006/relationships/image" Target="../media/image46.png"/><Relationship Id="rId42" Type="http://schemas.openxmlformats.org/officeDocument/2006/relationships/image" Target="../media/image64.png"/><Relationship Id="rId47" Type="http://schemas.openxmlformats.org/officeDocument/2006/relationships/image" Target="../media/image67.png"/><Relationship Id="rId63" Type="http://schemas.openxmlformats.org/officeDocument/2006/relationships/image" Target="../media/image88.jpeg"/><Relationship Id="rId68" Type="http://schemas.openxmlformats.org/officeDocument/2006/relationships/image" Target="../media/image77.png"/><Relationship Id="rId16" Type="http://schemas.openxmlformats.org/officeDocument/2006/relationships/image" Target="../media/image39.png"/><Relationship Id="rId11" Type="http://schemas.openxmlformats.org/officeDocument/2006/relationships/image" Target="../media/image34.png"/><Relationship Id="rId24" Type="http://schemas.openxmlformats.org/officeDocument/2006/relationships/image" Target="../media/image44.png"/><Relationship Id="rId32" Type="http://schemas.openxmlformats.org/officeDocument/2006/relationships/image" Target="../media/image57.png"/><Relationship Id="rId37" Type="http://schemas.openxmlformats.org/officeDocument/2006/relationships/image" Target="../media/image59.png"/><Relationship Id="rId40" Type="http://schemas.openxmlformats.org/officeDocument/2006/relationships/image" Target="../media/image61.png"/><Relationship Id="rId45" Type="http://schemas.openxmlformats.org/officeDocument/2006/relationships/image" Target="../media/image62.png"/><Relationship Id="rId53" Type="http://schemas.openxmlformats.org/officeDocument/2006/relationships/image" Target="../media/image27.png"/><Relationship Id="rId58" Type="http://schemas.microsoft.com/office/2007/relationships/hdphoto" Target="../media/hdphoto6.wdp"/><Relationship Id="rId66" Type="http://schemas.openxmlformats.org/officeDocument/2006/relationships/image" Target="../media/image91.jpeg"/><Relationship Id="rId74" Type="http://schemas.openxmlformats.org/officeDocument/2006/relationships/image" Target="../media/image80.jpeg"/><Relationship Id="rId5" Type="http://schemas.openxmlformats.org/officeDocument/2006/relationships/image" Target="../media/image22.png"/><Relationship Id="rId61" Type="http://schemas.openxmlformats.org/officeDocument/2006/relationships/image" Target="../media/image86.jpeg"/><Relationship Id="rId19" Type="http://schemas.openxmlformats.org/officeDocument/2006/relationships/image" Target="../media/image60.png"/><Relationship Id="rId14" Type="http://schemas.openxmlformats.org/officeDocument/2006/relationships/image" Target="../media/image37.png"/><Relationship Id="rId22" Type="http://schemas.openxmlformats.org/officeDocument/2006/relationships/image" Target="../media/image47.png"/><Relationship Id="rId27" Type="http://schemas.openxmlformats.org/officeDocument/2006/relationships/image" Target="../media/image85.png"/><Relationship Id="rId30" Type="http://schemas.openxmlformats.org/officeDocument/2006/relationships/image" Target="../media/image51.png"/><Relationship Id="rId35" Type="http://schemas.microsoft.com/office/2007/relationships/hdphoto" Target="../media/hdphoto7.wdp"/><Relationship Id="rId43" Type="http://schemas.openxmlformats.org/officeDocument/2006/relationships/image" Target="../media/image23.jpeg"/><Relationship Id="rId48" Type="http://schemas.openxmlformats.org/officeDocument/2006/relationships/image" Target="../media/image65.png"/><Relationship Id="rId56" Type="http://schemas.openxmlformats.org/officeDocument/2006/relationships/image" Target="../media/image25.png"/><Relationship Id="rId64" Type="http://schemas.openxmlformats.org/officeDocument/2006/relationships/image" Target="../media/image89.jpeg"/><Relationship Id="rId69" Type="http://schemas.openxmlformats.org/officeDocument/2006/relationships/image" Target="../media/image92.jpeg"/><Relationship Id="rId77" Type="http://schemas.openxmlformats.org/officeDocument/2006/relationships/image" Target="../media/image94.jpeg"/><Relationship Id="rId8" Type="http://schemas.openxmlformats.org/officeDocument/2006/relationships/image" Target="../media/image29.png"/><Relationship Id="rId51" Type="http://schemas.openxmlformats.org/officeDocument/2006/relationships/image" Target="../media/image21.png"/><Relationship Id="rId72" Type="http://schemas.openxmlformats.org/officeDocument/2006/relationships/image" Target="../media/image79.png"/><Relationship Id="rId3" Type="http://schemas.openxmlformats.org/officeDocument/2006/relationships/image" Target="../media/image20.png"/><Relationship Id="rId12" Type="http://schemas.openxmlformats.org/officeDocument/2006/relationships/image" Target="../media/image35.png"/><Relationship Id="rId17" Type="http://schemas.openxmlformats.org/officeDocument/2006/relationships/image" Target="../media/image40.png"/><Relationship Id="rId25" Type="http://schemas.openxmlformats.org/officeDocument/2006/relationships/image" Target="../media/image49.png"/><Relationship Id="rId33" Type="http://schemas.openxmlformats.org/officeDocument/2006/relationships/image" Target="../media/image58.png"/><Relationship Id="rId38" Type="http://schemas.openxmlformats.org/officeDocument/2006/relationships/image" Target="../media/image70.png"/><Relationship Id="rId46" Type="http://schemas.openxmlformats.org/officeDocument/2006/relationships/image" Target="../media/image63.png"/><Relationship Id="rId59" Type="http://schemas.openxmlformats.org/officeDocument/2006/relationships/image" Target="../media/image71.png"/><Relationship Id="rId67" Type="http://schemas.openxmlformats.org/officeDocument/2006/relationships/image" Target="../media/image69.png"/><Relationship Id="rId20" Type="http://schemas.openxmlformats.org/officeDocument/2006/relationships/image" Target="../media/image45.png"/><Relationship Id="rId41" Type="http://schemas.microsoft.com/office/2007/relationships/hdphoto" Target="../media/hdphoto8.wdp"/><Relationship Id="rId54" Type="http://schemas.openxmlformats.org/officeDocument/2006/relationships/image" Target="../media/image28.png"/><Relationship Id="rId62" Type="http://schemas.openxmlformats.org/officeDocument/2006/relationships/image" Target="../media/image87.jpeg"/><Relationship Id="rId70" Type="http://schemas.openxmlformats.org/officeDocument/2006/relationships/image" Target="../media/image93.jpeg"/><Relationship Id="rId75" Type="http://schemas.openxmlformats.org/officeDocument/2006/relationships/image" Target="../media/image81.jpeg"/><Relationship Id="rId1" Type="http://schemas.openxmlformats.org/officeDocument/2006/relationships/image" Target="../media/image16.jpeg"/><Relationship Id="rId6" Type="http://schemas.openxmlformats.org/officeDocument/2006/relationships/image" Target="../media/image24.png"/><Relationship Id="rId15" Type="http://schemas.openxmlformats.org/officeDocument/2006/relationships/image" Target="../media/image38.png"/><Relationship Id="rId23" Type="http://schemas.openxmlformats.org/officeDocument/2006/relationships/image" Target="../media/image48.png"/><Relationship Id="rId28" Type="http://schemas.microsoft.com/office/2007/relationships/hdphoto" Target="../media/hdphoto5.wdp"/><Relationship Id="rId36" Type="http://schemas.openxmlformats.org/officeDocument/2006/relationships/image" Target="../media/image55.png"/><Relationship Id="rId49" Type="http://schemas.openxmlformats.org/officeDocument/2006/relationships/image" Target="../media/image68.png"/><Relationship Id="rId57" Type="http://schemas.openxmlformats.org/officeDocument/2006/relationships/image" Target="../media/image53.png"/><Relationship Id="rId10" Type="http://schemas.openxmlformats.org/officeDocument/2006/relationships/image" Target="../media/image33.png"/><Relationship Id="rId31" Type="http://schemas.microsoft.com/office/2007/relationships/hdphoto" Target="../media/hdphoto4.wdp"/><Relationship Id="rId44" Type="http://schemas.openxmlformats.org/officeDocument/2006/relationships/image" Target="../media/image30.png"/><Relationship Id="rId52" Type="http://schemas.microsoft.com/office/2007/relationships/hdphoto" Target="../media/hdphoto2.wdp"/><Relationship Id="rId60" Type="http://schemas.openxmlformats.org/officeDocument/2006/relationships/image" Target="../media/image31.png"/><Relationship Id="rId65" Type="http://schemas.openxmlformats.org/officeDocument/2006/relationships/image" Target="../media/image90.jpeg"/><Relationship Id="rId73" Type="http://schemas.openxmlformats.org/officeDocument/2006/relationships/image" Target="../media/image72.png"/><Relationship Id="rId78" Type="http://schemas.openxmlformats.org/officeDocument/2006/relationships/image" Target="../media/image84.jpeg"/><Relationship Id="rId4" Type="http://schemas.microsoft.com/office/2007/relationships/hdphoto" Target="../media/hdphoto1.wdp"/><Relationship Id="rId9" Type="http://schemas.openxmlformats.org/officeDocument/2006/relationships/image" Target="../media/image32.png"/><Relationship Id="rId13" Type="http://schemas.openxmlformats.org/officeDocument/2006/relationships/image" Target="../media/image36.png"/><Relationship Id="rId18" Type="http://schemas.openxmlformats.org/officeDocument/2006/relationships/image" Target="../media/image41.png"/><Relationship Id="rId39" Type="http://schemas.microsoft.com/office/2007/relationships/hdphoto" Target="../media/hdphoto9.wdp"/><Relationship Id="rId34" Type="http://schemas.openxmlformats.org/officeDocument/2006/relationships/image" Target="../media/image54.png"/><Relationship Id="rId50" Type="http://schemas.openxmlformats.org/officeDocument/2006/relationships/image" Target="../media/image66.png"/><Relationship Id="rId55" Type="http://schemas.microsoft.com/office/2007/relationships/hdphoto" Target="../media/hdphoto3.wdp"/><Relationship Id="rId76" Type="http://schemas.openxmlformats.org/officeDocument/2006/relationships/image" Target="../media/image82.png"/><Relationship Id="rId7" Type="http://schemas.openxmlformats.org/officeDocument/2006/relationships/image" Target="../media/image26.png"/><Relationship Id="rId71" Type="http://schemas.openxmlformats.org/officeDocument/2006/relationships/image" Target="../media/image78.jpeg"/><Relationship Id="rId2" Type="http://schemas.openxmlformats.org/officeDocument/2006/relationships/image" Target="../media/image19.png"/><Relationship Id="rId29" Type="http://schemas.openxmlformats.org/officeDocument/2006/relationships/image" Target="../media/image56.png"/></Relationships>
</file>

<file path=xl/drawings/_rels/drawing7.xml.rels><?xml version="1.0" encoding="UTF-8" standalone="yes"?>
<Relationships xmlns="http://schemas.openxmlformats.org/package/2006/relationships"><Relationship Id="rId26" Type="http://schemas.openxmlformats.org/officeDocument/2006/relationships/image" Target="../media/image40.png"/><Relationship Id="rId21" Type="http://schemas.openxmlformats.org/officeDocument/2006/relationships/image" Target="../media/image35.png"/><Relationship Id="rId42" Type="http://schemas.microsoft.com/office/2007/relationships/hdphoto" Target="../media/hdphoto6.wdp"/><Relationship Id="rId47" Type="http://schemas.openxmlformats.org/officeDocument/2006/relationships/image" Target="../media/image57.png"/><Relationship Id="rId63" Type="http://schemas.openxmlformats.org/officeDocument/2006/relationships/image" Target="../media/image71.png"/><Relationship Id="rId68" Type="http://schemas.openxmlformats.org/officeDocument/2006/relationships/image" Target="../media/image76.jpeg"/><Relationship Id="rId2" Type="http://schemas.openxmlformats.org/officeDocument/2006/relationships/image" Target="../media/image19.png"/><Relationship Id="rId16" Type="http://schemas.openxmlformats.org/officeDocument/2006/relationships/image" Target="../media/image30.png"/><Relationship Id="rId29" Type="http://schemas.openxmlformats.org/officeDocument/2006/relationships/image" Target="../media/image43.jpeg"/><Relationship Id="rId11" Type="http://schemas.openxmlformats.org/officeDocument/2006/relationships/image" Target="../media/image26.png"/><Relationship Id="rId24" Type="http://schemas.openxmlformats.org/officeDocument/2006/relationships/image" Target="../media/image38.png"/><Relationship Id="rId32" Type="http://schemas.openxmlformats.org/officeDocument/2006/relationships/image" Target="../media/image46.png"/><Relationship Id="rId37" Type="http://schemas.openxmlformats.org/officeDocument/2006/relationships/image" Target="../media/image51.png"/><Relationship Id="rId40" Type="http://schemas.microsoft.com/office/2007/relationships/hdphoto" Target="../media/hdphoto5.wdp"/><Relationship Id="rId45" Type="http://schemas.openxmlformats.org/officeDocument/2006/relationships/image" Target="../media/image55.png"/><Relationship Id="rId53" Type="http://schemas.openxmlformats.org/officeDocument/2006/relationships/image" Target="../media/image62.png"/><Relationship Id="rId58" Type="http://schemas.openxmlformats.org/officeDocument/2006/relationships/image" Target="../media/image67.png"/><Relationship Id="rId66" Type="http://schemas.openxmlformats.org/officeDocument/2006/relationships/image" Target="../media/image74.jpeg"/><Relationship Id="rId74" Type="http://schemas.openxmlformats.org/officeDocument/2006/relationships/image" Target="../media/image82.png"/><Relationship Id="rId5" Type="http://schemas.openxmlformats.org/officeDocument/2006/relationships/image" Target="../media/image21.png"/><Relationship Id="rId61" Type="http://schemas.openxmlformats.org/officeDocument/2006/relationships/image" Target="../media/image70.png"/><Relationship Id="rId19" Type="http://schemas.openxmlformats.org/officeDocument/2006/relationships/image" Target="../media/image33.png"/><Relationship Id="rId14" Type="http://schemas.microsoft.com/office/2007/relationships/hdphoto" Target="../media/hdphoto3.wdp"/><Relationship Id="rId22" Type="http://schemas.openxmlformats.org/officeDocument/2006/relationships/image" Target="../media/image36.png"/><Relationship Id="rId27" Type="http://schemas.openxmlformats.org/officeDocument/2006/relationships/image" Target="../media/image41.png"/><Relationship Id="rId30" Type="http://schemas.openxmlformats.org/officeDocument/2006/relationships/image" Target="../media/image44.png"/><Relationship Id="rId35" Type="http://schemas.openxmlformats.org/officeDocument/2006/relationships/image" Target="../media/image49.png"/><Relationship Id="rId43" Type="http://schemas.openxmlformats.org/officeDocument/2006/relationships/image" Target="../media/image54.png"/><Relationship Id="rId48" Type="http://schemas.openxmlformats.org/officeDocument/2006/relationships/image" Target="../media/image58.png"/><Relationship Id="rId56" Type="http://schemas.openxmlformats.org/officeDocument/2006/relationships/image" Target="../media/image65.png"/><Relationship Id="rId64" Type="http://schemas.openxmlformats.org/officeDocument/2006/relationships/image" Target="../media/image72.png"/><Relationship Id="rId69" Type="http://schemas.openxmlformats.org/officeDocument/2006/relationships/image" Target="../media/image77.png"/><Relationship Id="rId8" Type="http://schemas.openxmlformats.org/officeDocument/2006/relationships/image" Target="../media/image23.jpeg"/><Relationship Id="rId51" Type="http://schemas.openxmlformats.org/officeDocument/2006/relationships/image" Target="../media/image61.png"/><Relationship Id="rId72" Type="http://schemas.openxmlformats.org/officeDocument/2006/relationships/image" Target="../media/image80.jpeg"/><Relationship Id="rId3" Type="http://schemas.openxmlformats.org/officeDocument/2006/relationships/image" Target="../media/image20.png"/><Relationship Id="rId12" Type="http://schemas.openxmlformats.org/officeDocument/2006/relationships/image" Target="../media/image27.png"/><Relationship Id="rId17" Type="http://schemas.openxmlformats.org/officeDocument/2006/relationships/image" Target="../media/image31.png"/><Relationship Id="rId25" Type="http://schemas.openxmlformats.org/officeDocument/2006/relationships/image" Target="../media/image39.png"/><Relationship Id="rId33" Type="http://schemas.openxmlformats.org/officeDocument/2006/relationships/image" Target="../media/image47.png"/><Relationship Id="rId38" Type="http://schemas.microsoft.com/office/2007/relationships/hdphoto" Target="../media/hdphoto4.wdp"/><Relationship Id="rId46" Type="http://schemas.openxmlformats.org/officeDocument/2006/relationships/image" Target="../media/image56.png"/><Relationship Id="rId59" Type="http://schemas.openxmlformats.org/officeDocument/2006/relationships/image" Target="../media/image68.png"/><Relationship Id="rId67" Type="http://schemas.openxmlformats.org/officeDocument/2006/relationships/image" Target="../media/image75.jpeg"/><Relationship Id="rId20" Type="http://schemas.openxmlformats.org/officeDocument/2006/relationships/image" Target="../media/image34.png"/><Relationship Id="rId41" Type="http://schemas.openxmlformats.org/officeDocument/2006/relationships/image" Target="../media/image53.png"/><Relationship Id="rId54" Type="http://schemas.openxmlformats.org/officeDocument/2006/relationships/image" Target="../media/image63.png"/><Relationship Id="rId62" Type="http://schemas.microsoft.com/office/2007/relationships/hdphoto" Target="../media/hdphoto9.wdp"/><Relationship Id="rId70" Type="http://schemas.openxmlformats.org/officeDocument/2006/relationships/image" Target="../media/image78.jpeg"/><Relationship Id="rId75" Type="http://schemas.openxmlformats.org/officeDocument/2006/relationships/image" Target="../media/image95.jpeg"/><Relationship Id="rId1" Type="http://schemas.openxmlformats.org/officeDocument/2006/relationships/image" Target="../media/image16.jpeg"/><Relationship Id="rId6" Type="http://schemas.microsoft.com/office/2007/relationships/hdphoto" Target="../media/hdphoto2.wdp"/><Relationship Id="rId15" Type="http://schemas.openxmlformats.org/officeDocument/2006/relationships/image" Target="../media/image29.png"/><Relationship Id="rId23" Type="http://schemas.openxmlformats.org/officeDocument/2006/relationships/image" Target="../media/image37.png"/><Relationship Id="rId28" Type="http://schemas.openxmlformats.org/officeDocument/2006/relationships/image" Target="../media/image42.jpeg"/><Relationship Id="rId36" Type="http://schemas.openxmlformats.org/officeDocument/2006/relationships/image" Target="../media/image50.png"/><Relationship Id="rId49" Type="http://schemas.openxmlformats.org/officeDocument/2006/relationships/image" Target="../media/image59.png"/><Relationship Id="rId57" Type="http://schemas.openxmlformats.org/officeDocument/2006/relationships/image" Target="../media/image66.png"/><Relationship Id="rId10" Type="http://schemas.openxmlformats.org/officeDocument/2006/relationships/image" Target="../media/image25.png"/><Relationship Id="rId31" Type="http://schemas.openxmlformats.org/officeDocument/2006/relationships/image" Target="../media/image45.png"/><Relationship Id="rId44" Type="http://schemas.microsoft.com/office/2007/relationships/hdphoto" Target="../media/hdphoto7.wdp"/><Relationship Id="rId52" Type="http://schemas.microsoft.com/office/2007/relationships/hdphoto" Target="../media/hdphoto8.wdp"/><Relationship Id="rId60" Type="http://schemas.openxmlformats.org/officeDocument/2006/relationships/image" Target="../media/image69.png"/><Relationship Id="rId65" Type="http://schemas.openxmlformats.org/officeDocument/2006/relationships/image" Target="../media/image73.jpeg"/><Relationship Id="rId73" Type="http://schemas.openxmlformats.org/officeDocument/2006/relationships/image" Target="../media/image81.jpeg"/><Relationship Id="rId4" Type="http://schemas.microsoft.com/office/2007/relationships/hdphoto" Target="../media/hdphoto1.wdp"/><Relationship Id="rId9" Type="http://schemas.openxmlformats.org/officeDocument/2006/relationships/image" Target="../media/image24.png"/><Relationship Id="rId13" Type="http://schemas.openxmlformats.org/officeDocument/2006/relationships/image" Target="../media/image28.png"/><Relationship Id="rId18" Type="http://schemas.openxmlformats.org/officeDocument/2006/relationships/image" Target="../media/image32.png"/><Relationship Id="rId39" Type="http://schemas.openxmlformats.org/officeDocument/2006/relationships/image" Target="../media/image52.png"/><Relationship Id="rId34" Type="http://schemas.openxmlformats.org/officeDocument/2006/relationships/image" Target="../media/image48.png"/><Relationship Id="rId50" Type="http://schemas.openxmlformats.org/officeDocument/2006/relationships/image" Target="../media/image60.png"/><Relationship Id="rId55" Type="http://schemas.openxmlformats.org/officeDocument/2006/relationships/image" Target="../media/image64.png"/><Relationship Id="rId76" Type="http://schemas.openxmlformats.org/officeDocument/2006/relationships/image" Target="../media/image96.jpeg"/><Relationship Id="rId7" Type="http://schemas.openxmlformats.org/officeDocument/2006/relationships/image" Target="../media/image22.png"/><Relationship Id="rId71" Type="http://schemas.openxmlformats.org/officeDocument/2006/relationships/image" Target="../media/image79.png"/></Relationships>
</file>

<file path=xl/drawings/drawing1.xml><?xml version="1.0" encoding="utf-8"?>
<xdr:wsDr xmlns:xdr="http://schemas.openxmlformats.org/drawingml/2006/spreadsheetDrawing" xmlns:a="http://schemas.openxmlformats.org/drawingml/2006/main">
  <xdr:oneCellAnchor>
    <xdr:from>
      <xdr:col>3</xdr:col>
      <xdr:colOff>1598379</xdr:colOff>
      <xdr:row>63</xdr:row>
      <xdr:rowOff>44824</xdr:rowOff>
    </xdr:from>
    <xdr:ext cx="190500" cy="157443"/>
    <xdr:pic>
      <xdr:nvPicPr>
        <xdr:cNvPr id="4" name="Picture 11">
          <a:extLst>
            <a:ext uri="{FF2B5EF4-FFF2-40B4-BE49-F238E27FC236}">
              <a16:creationId xmlns:a16="http://schemas.microsoft.com/office/drawing/2014/main" id="{7C8EF3D8-A661-4B57-A6D1-3D0A51AE77FF}"/>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066350" y="9569824"/>
          <a:ext cx="190500" cy="157443"/>
        </a:xfrm>
        <a:prstGeom prst="rect">
          <a:avLst/>
        </a:prstGeom>
        <a:noFill/>
        <a:ln w="9525">
          <a:noFill/>
          <a:miter lim="800000"/>
          <a:headEnd/>
          <a:tailEnd/>
        </a:ln>
      </xdr:spPr>
    </xdr:pic>
    <xdr:clientData/>
  </xdr:oneCellAnchor>
  <xdr:twoCellAnchor editAs="oneCell">
    <xdr:from>
      <xdr:col>3</xdr:col>
      <xdr:colOff>2469356</xdr:colOff>
      <xdr:row>64</xdr:row>
      <xdr:rowOff>9525</xdr:rowOff>
    </xdr:from>
    <xdr:to>
      <xdr:col>3</xdr:col>
      <xdr:colOff>2640806</xdr:colOff>
      <xdr:row>64</xdr:row>
      <xdr:rowOff>176214</xdr:rowOff>
    </xdr:to>
    <xdr:pic>
      <xdr:nvPicPr>
        <xdr:cNvPr id="5" name="Picture 13">
          <a:extLst>
            <a:ext uri="{FF2B5EF4-FFF2-40B4-BE49-F238E27FC236}">
              <a16:creationId xmlns:a16="http://schemas.microsoft.com/office/drawing/2014/main" id="{938D46D1-A173-4523-A752-A48DB171910A}"/>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blip>
        <a:srcRect/>
        <a:stretch>
          <a:fillRect/>
        </a:stretch>
      </xdr:blipFill>
      <xdr:spPr bwMode="auto">
        <a:xfrm>
          <a:off x="2683669" y="8951119"/>
          <a:ext cx="171450" cy="166689"/>
        </a:xfrm>
        <a:prstGeom prst="rect">
          <a:avLst/>
        </a:prstGeom>
        <a:noFill/>
        <a:ln w="9525">
          <a:noFill/>
          <a:miter lim="800000"/>
          <a:headEnd/>
          <a:tailEnd/>
        </a:ln>
      </xdr:spPr>
    </xdr:pic>
    <xdr:clientData/>
  </xdr:twoCellAnchor>
  <xdr:twoCellAnchor editAs="oneCell">
    <xdr:from>
      <xdr:col>3</xdr:col>
      <xdr:colOff>1876425</xdr:colOff>
      <xdr:row>65</xdr:row>
      <xdr:rowOff>23813</xdr:rowOff>
    </xdr:from>
    <xdr:to>
      <xdr:col>3</xdr:col>
      <xdr:colOff>2085975</xdr:colOff>
      <xdr:row>65</xdr:row>
      <xdr:rowOff>176213</xdr:rowOff>
    </xdr:to>
    <xdr:pic>
      <xdr:nvPicPr>
        <xdr:cNvPr id="6" name="Picture 10">
          <a:extLst>
            <a:ext uri="{FF2B5EF4-FFF2-40B4-BE49-F238E27FC236}">
              <a16:creationId xmlns:a16="http://schemas.microsoft.com/office/drawing/2014/main" id="{2012542F-2F6F-48E4-B54D-348888A0A27B}"/>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2090738" y="9155907"/>
          <a:ext cx="209550" cy="152400"/>
        </a:xfrm>
        <a:prstGeom prst="rect">
          <a:avLst/>
        </a:prstGeom>
        <a:noFill/>
        <a:ln w="9525">
          <a:noFill/>
          <a:miter lim="800000"/>
          <a:headEnd/>
          <a:tailEnd/>
        </a:ln>
      </xdr:spPr>
    </xdr:pic>
    <xdr:clientData/>
  </xdr:twoCellAnchor>
  <xdr:oneCellAnchor>
    <xdr:from>
      <xdr:col>3</xdr:col>
      <xdr:colOff>1378647</xdr:colOff>
      <xdr:row>66</xdr:row>
      <xdr:rowOff>21874</xdr:rowOff>
    </xdr:from>
    <xdr:ext cx="219075" cy="180975"/>
    <xdr:pic>
      <xdr:nvPicPr>
        <xdr:cNvPr id="7" name="Picture 5">
          <a:extLst>
            <a:ext uri="{FF2B5EF4-FFF2-40B4-BE49-F238E27FC236}">
              <a16:creationId xmlns:a16="http://schemas.microsoft.com/office/drawing/2014/main" id="{5D74E5FB-74C4-429E-99E4-F2B248E169A5}"/>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4322738" y="11271765"/>
          <a:ext cx="219075" cy="180975"/>
        </a:xfrm>
        <a:prstGeom prst="rect">
          <a:avLst/>
        </a:prstGeom>
        <a:noFill/>
        <a:ln w="9525">
          <a:noFill/>
          <a:miter lim="800000"/>
          <a:headEnd/>
          <a:tailEnd/>
        </a:ln>
      </xdr:spPr>
    </xdr:pic>
    <xdr:clientData/>
  </xdr:oneCellAnchor>
  <xdr:twoCellAnchor editAs="oneCell">
    <xdr:from>
      <xdr:col>3</xdr:col>
      <xdr:colOff>2233612</xdr:colOff>
      <xdr:row>67</xdr:row>
      <xdr:rowOff>38100</xdr:rowOff>
    </xdr:from>
    <xdr:to>
      <xdr:col>3</xdr:col>
      <xdr:colOff>2424112</xdr:colOff>
      <xdr:row>67</xdr:row>
      <xdr:rowOff>171450</xdr:rowOff>
    </xdr:to>
    <xdr:pic>
      <xdr:nvPicPr>
        <xdr:cNvPr id="8" name="Picture 6">
          <a:extLst>
            <a:ext uri="{FF2B5EF4-FFF2-40B4-BE49-F238E27FC236}">
              <a16:creationId xmlns:a16="http://schemas.microsoft.com/office/drawing/2014/main" id="{5B618C2C-E271-429A-BCB3-E1ED36BB5CF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3348037" y="10287000"/>
          <a:ext cx="190500" cy="133350"/>
        </a:xfrm>
        <a:prstGeom prst="rect">
          <a:avLst/>
        </a:prstGeom>
        <a:noFill/>
        <a:ln w="9525">
          <a:noFill/>
          <a:miter lim="800000"/>
          <a:headEnd/>
          <a:tailEnd/>
        </a:ln>
      </xdr:spPr>
    </xdr:pic>
    <xdr:clientData/>
  </xdr:twoCellAnchor>
  <xdr:twoCellAnchor editAs="oneCell">
    <xdr:from>
      <xdr:col>3</xdr:col>
      <xdr:colOff>3076314</xdr:colOff>
      <xdr:row>68</xdr:row>
      <xdr:rowOff>63853</xdr:rowOff>
    </xdr:from>
    <xdr:to>
      <xdr:col>3</xdr:col>
      <xdr:colOff>3266814</xdr:colOff>
      <xdr:row>69</xdr:row>
      <xdr:rowOff>11009</xdr:rowOff>
    </xdr:to>
    <xdr:pic>
      <xdr:nvPicPr>
        <xdr:cNvPr id="9" name="Picture 6">
          <a:extLst>
            <a:ext uri="{FF2B5EF4-FFF2-40B4-BE49-F238E27FC236}">
              <a16:creationId xmlns:a16="http://schemas.microsoft.com/office/drawing/2014/main" id="{A99C8ABF-E2C5-49B5-9226-9854E05C76A3}"/>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5933814" y="11806817"/>
          <a:ext cx="190500" cy="135752"/>
        </a:xfrm>
        <a:prstGeom prst="rect">
          <a:avLst/>
        </a:prstGeom>
        <a:noFill/>
        <a:ln w="9525">
          <a:noFill/>
          <a:miter lim="800000"/>
          <a:headEnd/>
          <a:tailEnd/>
        </a:ln>
      </xdr:spPr>
    </xdr:pic>
    <xdr:clientData/>
  </xdr:twoCellAnchor>
  <xdr:twoCellAnchor editAs="oneCell">
    <xdr:from>
      <xdr:col>3</xdr:col>
      <xdr:colOff>2105026</xdr:colOff>
      <xdr:row>65</xdr:row>
      <xdr:rowOff>28575</xdr:rowOff>
    </xdr:from>
    <xdr:to>
      <xdr:col>3</xdr:col>
      <xdr:colOff>2352676</xdr:colOff>
      <xdr:row>65</xdr:row>
      <xdr:rowOff>176212</xdr:rowOff>
    </xdr:to>
    <xdr:pic>
      <xdr:nvPicPr>
        <xdr:cNvPr id="14" name="product-main-image" descr="https://dhb3yazwboecu.cloudfront.net/980/imagenes/productos/cerr/16051_m.jpg">
          <a:extLst>
            <a:ext uri="{FF2B5EF4-FFF2-40B4-BE49-F238E27FC236}">
              <a16:creationId xmlns:a16="http://schemas.microsoft.com/office/drawing/2014/main" id="{2FB0AB6B-6D61-4D63-8903-288F62CCA35D}"/>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 t="39428" r="517"/>
        <a:stretch/>
      </xdr:blipFill>
      <xdr:spPr bwMode="auto">
        <a:xfrm>
          <a:off x="2867026" y="7515225"/>
          <a:ext cx="247650"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1714501</xdr:colOff>
      <xdr:row>74</xdr:row>
      <xdr:rowOff>9525</xdr:rowOff>
    </xdr:from>
    <xdr:to>
      <xdr:col>3</xdr:col>
      <xdr:colOff>2038351</xdr:colOff>
      <xdr:row>74</xdr:row>
      <xdr:rowOff>179997</xdr:rowOff>
    </xdr:to>
    <xdr:pic>
      <xdr:nvPicPr>
        <xdr:cNvPr id="15" name="product-main-image" descr="https://dhb3yazwboecu.cloudfront.net/980/imagenes/productos/cerr/1610_m.jpg">
          <a:extLst>
            <a:ext uri="{FF2B5EF4-FFF2-40B4-BE49-F238E27FC236}">
              <a16:creationId xmlns:a16="http://schemas.microsoft.com/office/drawing/2014/main" id="{98C63BD9-0217-486A-B979-C16165D3022B}"/>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 t="43714" r="517"/>
        <a:stretch/>
      </xdr:blipFill>
      <xdr:spPr bwMode="auto">
        <a:xfrm>
          <a:off x="2476501" y="9601200"/>
          <a:ext cx="323850" cy="1657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1621630</xdr:colOff>
      <xdr:row>75</xdr:row>
      <xdr:rowOff>0</xdr:rowOff>
    </xdr:from>
    <xdr:to>
      <xdr:col>3</xdr:col>
      <xdr:colOff>1907381</xdr:colOff>
      <xdr:row>75</xdr:row>
      <xdr:rowOff>167819</xdr:rowOff>
    </xdr:to>
    <xdr:pic>
      <xdr:nvPicPr>
        <xdr:cNvPr id="16" name="product-main-image" descr="https://dhb3yazwboecu.cloudfront.net/980/imagenes/productos/cerr/Perfil_union_omegas_cleantech_m.jpg">
          <a:extLst>
            <a:ext uri="{FF2B5EF4-FFF2-40B4-BE49-F238E27FC236}">
              <a16:creationId xmlns:a16="http://schemas.microsoft.com/office/drawing/2014/main" id="{4F3C5C86-56F7-4A8D-B165-65A427D744CF}"/>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t="31143" r="-1143" b="11143"/>
        <a:stretch/>
      </xdr:blipFill>
      <xdr:spPr bwMode="auto">
        <a:xfrm>
          <a:off x="1835943" y="11584781"/>
          <a:ext cx="285751" cy="1678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2714626</xdr:colOff>
      <xdr:row>77</xdr:row>
      <xdr:rowOff>19051</xdr:rowOff>
    </xdr:from>
    <xdr:to>
      <xdr:col>3</xdr:col>
      <xdr:colOff>2905126</xdr:colOff>
      <xdr:row>77</xdr:row>
      <xdr:rowOff>183832</xdr:rowOff>
    </xdr:to>
    <xdr:pic>
      <xdr:nvPicPr>
        <xdr:cNvPr id="17" name="product-main-image" descr="https://dhb3yazwboecu.cloudfront.net/980/imagenes/productos/cerr/Perfil_tirante_perfil_T_1cleantech_m.jpg">
          <a:extLst>
            <a:ext uri="{FF2B5EF4-FFF2-40B4-BE49-F238E27FC236}">
              <a16:creationId xmlns:a16="http://schemas.microsoft.com/office/drawing/2014/main" id="{CB38F677-06D2-45C7-B37C-748E1A4757A2}"/>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16000"/>
        <a:stretch/>
      </xdr:blipFill>
      <xdr:spPr bwMode="auto">
        <a:xfrm>
          <a:off x="3829051" y="12544426"/>
          <a:ext cx="190500" cy="1647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1790700</xdr:colOff>
      <xdr:row>76</xdr:row>
      <xdr:rowOff>0</xdr:rowOff>
    </xdr:from>
    <xdr:to>
      <xdr:col>3</xdr:col>
      <xdr:colOff>2047875</xdr:colOff>
      <xdr:row>76</xdr:row>
      <xdr:rowOff>151555</xdr:rowOff>
    </xdr:to>
    <xdr:pic>
      <xdr:nvPicPr>
        <xdr:cNvPr id="18" name="product-main-image" descr="https://dhb3yazwboecu.cloudfront.net/980/imagenes/productos/cerr/1610_m.jpg">
          <a:extLst>
            <a:ext uri="{FF2B5EF4-FFF2-40B4-BE49-F238E27FC236}">
              <a16:creationId xmlns:a16="http://schemas.microsoft.com/office/drawing/2014/main" id="{9891DB1A-51CB-4297-93C8-1C66EA9E6E98}"/>
            </a:ext>
          </a:extLst>
        </xdr:cNvPr>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1" t="40000" r="1550"/>
        <a:stretch/>
      </xdr:blipFill>
      <xdr:spPr bwMode="auto">
        <a:xfrm>
          <a:off x="2552700" y="9934575"/>
          <a:ext cx="257175" cy="14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2124075</xdr:colOff>
      <xdr:row>72</xdr:row>
      <xdr:rowOff>152401</xdr:rowOff>
    </xdr:from>
    <xdr:to>
      <xdr:col>3</xdr:col>
      <xdr:colOff>2362200</xdr:colOff>
      <xdr:row>73</xdr:row>
      <xdr:rowOff>162291</xdr:rowOff>
    </xdr:to>
    <xdr:pic>
      <xdr:nvPicPr>
        <xdr:cNvPr id="19" name="product-main-image" descr="https://dhb3yazwboecu.cloudfront.net/980/imagenes/productos/cerr/Perfil_soporte_T_techos_2cleantech_m.jpg">
          <a:extLst>
            <a:ext uri="{FF2B5EF4-FFF2-40B4-BE49-F238E27FC236}">
              <a16:creationId xmlns:a16="http://schemas.microsoft.com/office/drawing/2014/main" id="{04F38AD2-1E7C-4851-85F9-550575834CAB}"/>
            </a:ext>
          </a:extLst>
        </xdr:cNvPr>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22572" t="28001" r="4285" b="12856"/>
        <a:stretch/>
      </xdr:blipFill>
      <xdr:spPr bwMode="auto">
        <a:xfrm>
          <a:off x="2886075" y="9420226"/>
          <a:ext cx="238125" cy="192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2483644</xdr:colOff>
      <xdr:row>72</xdr:row>
      <xdr:rowOff>0</xdr:rowOff>
    </xdr:from>
    <xdr:to>
      <xdr:col>3</xdr:col>
      <xdr:colOff>2731294</xdr:colOff>
      <xdr:row>72</xdr:row>
      <xdr:rowOff>166017</xdr:rowOff>
    </xdr:to>
    <xdr:pic>
      <xdr:nvPicPr>
        <xdr:cNvPr id="20" name="Imagen 19" descr="https://dhb3yazwboecu.cloudfront.net/980/imagenes/productos/cerr/Perfil_soporte_L_techos_2cleantech_l.jpg">
          <a:extLst>
            <a:ext uri="{FF2B5EF4-FFF2-40B4-BE49-F238E27FC236}">
              <a16:creationId xmlns:a16="http://schemas.microsoft.com/office/drawing/2014/main" id="{04019FAA-1904-42AA-8702-FE7B9E1A2561}"/>
            </a:ext>
          </a:extLst>
        </xdr:cNvPr>
        <xdr:cNvPicPr>
          <a:picLocks noChangeAspect="1" noChangeArrowheads="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20795" t="32627" r="394" b="15389"/>
        <a:stretch/>
      </xdr:blipFill>
      <xdr:spPr bwMode="auto">
        <a:xfrm>
          <a:off x="2697957" y="10627519"/>
          <a:ext cx="247650" cy="1681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3024188</xdr:colOff>
      <xdr:row>61</xdr:row>
      <xdr:rowOff>38100</xdr:rowOff>
    </xdr:from>
    <xdr:ext cx="171450" cy="155482"/>
    <xdr:pic>
      <xdr:nvPicPr>
        <xdr:cNvPr id="22" name="Picture 14">
          <a:extLst>
            <a:ext uri="{FF2B5EF4-FFF2-40B4-BE49-F238E27FC236}">
              <a16:creationId xmlns:a16="http://schemas.microsoft.com/office/drawing/2014/main" id="{D116390E-0F39-4DA0-8AD4-07AE48CF0835}"/>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4138613" y="9144000"/>
          <a:ext cx="171450" cy="155482"/>
        </a:xfrm>
        <a:prstGeom prst="rect">
          <a:avLst/>
        </a:prstGeom>
        <a:noFill/>
        <a:ln w="9525">
          <a:noFill/>
          <a:miter lim="800000"/>
          <a:headEnd/>
          <a:tailEnd/>
        </a:ln>
      </xdr:spPr>
    </xdr:pic>
    <xdr:clientData/>
  </xdr:oneCellAnchor>
  <xdr:oneCellAnchor>
    <xdr:from>
      <xdr:col>3</xdr:col>
      <xdr:colOff>2409825</xdr:colOff>
      <xdr:row>62</xdr:row>
      <xdr:rowOff>38100</xdr:rowOff>
    </xdr:from>
    <xdr:ext cx="142875" cy="122144"/>
    <xdr:pic>
      <xdr:nvPicPr>
        <xdr:cNvPr id="23" name="Picture 15">
          <a:extLst>
            <a:ext uri="{FF2B5EF4-FFF2-40B4-BE49-F238E27FC236}">
              <a16:creationId xmlns:a16="http://schemas.microsoft.com/office/drawing/2014/main" id="{3B5DCE2D-E1AA-4070-9743-C75390A7ED57}"/>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3524250" y="9334500"/>
          <a:ext cx="142875" cy="122144"/>
        </a:xfrm>
        <a:prstGeom prst="rect">
          <a:avLst/>
        </a:prstGeom>
        <a:noFill/>
        <a:ln w="9525">
          <a:noFill/>
          <a:miter lim="800000"/>
          <a:headEnd/>
          <a:tailEnd/>
        </a:ln>
      </xdr:spPr>
    </xdr:pic>
    <xdr:clientData/>
  </xdr:oneCellAnchor>
  <xdr:oneCellAnchor>
    <xdr:from>
      <xdr:col>3</xdr:col>
      <xdr:colOff>2288939</xdr:colOff>
      <xdr:row>77</xdr:row>
      <xdr:rowOff>28576</xdr:rowOff>
    </xdr:from>
    <xdr:ext cx="168511" cy="157162"/>
    <xdr:pic>
      <xdr:nvPicPr>
        <xdr:cNvPr id="25" name="product-main-image" descr="https://dhb3yazwboecu.cloudfront.net/980/imagenes/productos/cerr/1611_m.jpg">
          <a:extLst>
            <a:ext uri="{FF2B5EF4-FFF2-40B4-BE49-F238E27FC236}">
              <a16:creationId xmlns:a16="http://schemas.microsoft.com/office/drawing/2014/main" id="{2202095A-931C-400B-8501-A8027072E91B}"/>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403364" y="12553951"/>
          <a:ext cx="168511" cy="15716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2288939</xdr:colOff>
      <xdr:row>77</xdr:row>
      <xdr:rowOff>28576</xdr:rowOff>
    </xdr:from>
    <xdr:ext cx="168511" cy="157162"/>
    <xdr:pic>
      <xdr:nvPicPr>
        <xdr:cNvPr id="26" name="product-main-image" descr="https://dhb3yazwboecu.cloudfront.net/980/imagenes/productos/cerr/1611_m.jpg">
          <a:extLst>
            <a:ext uri="{FF2B5EF4-FFF2-40B4-BE49-F238E27FC236}">
              <a16:creationId xmlns:a16="http://schemas.microsoft.com/office/drawing/2014/main" id="{EB66226F-FFB8-49B0-B394-25EE5BB73B65}"/>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403364" y="12553951"/>
          <a:ext cx="168511" cy="15716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66676</xdr:colOff>
      <xdr:row>1</xdr:row>
      <xdr:rowOff>42361</xdr:rowOff>
    </xdr:from>
    <xdr:to>
      <xdr:col>1</xdr:col>
      <xdr:colOff>638175</xdr:colOff>
      <xdr:row>1</xdr:row>
      <xdr:rowOff>684619</xdr:rowOff>
    </xdr:to>
    <xdr:pic>
      <xdr:nvPicPr>
        <xdr:cNvPr id="12" name="Imagen 11">
          <a:extLst>
            <a:ext uri="{FF2B5EF4-FFF2-40B4-BE49-F238E27FC236}">
              <a16:creationId xmlns:a16="http://schemas.microsoft.com/office/drawing/2014/main" id="{66BBCD98-8D12-41E9-BFA8-8F32B6539D72}"/>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85751" y="232861"/>
          <a:ext cx="571499" cy="642258"/>
        </a:xfrm>
        <a:prstGeom prst="rect">
          <a:avLst/>
        </a:prstGeom>
      </xdr:spPr>
    </xdr:pic>
    <xdr:clientData/>
  </xdr:twoCellAnchor>
  <xdr:oneCellAnchor>
    <xdr:from>
      <xdr:col>3</xdr:col>
      <xdr:colOff>4341159</xdr:colOff>
      <xdr:row>60</xdr:row>
      <xdr:rowOff>58830</xdr:rowOff>
    </xdr:from>
    <xdr:ext cx="142875" cy="122144"/>
    <xdr:pic>
      <xdr:nvPicPr>
        <xdr:cNvPr id="24" name="Picture 15">
          <a:extLst>
            <a:ext uri="{FF2B5EF4-FFF2-40B4-BE49-F238E27FC236}">
              <a16:creationId xmlns:a16="http://schemas.microsoft.com/office/drawing/2014/main" id="{D4F70415-1B14-4040-9E06-D1D01D0C443E}"/>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7117016" y="9855973"/>
          <a:ext cx="142875" cy="122144"/>
        </a:xfrm>
        <a:prstGeom prst="rect">
          <a:avLst/>
        </a:prstGeom>
        <a:noFill/>
        <a:ln w="9525">
          <a:noFill/>
          <a:miter lim="800000"/>
          <a:headEnd/>
          <a:tailEnd/>
        </a:ln>
      </xdr:spPr>
    </xdr:pic>
    <xdr:clientData/>
  </xdr:oneCellAnchor>
  <xdr:oneCellAnchor>
    <xdr:from>
      <xdr:col>3</xdr:col>
      <xdr:colOff>4672573</xdr:colOff>
      <xdr:row>60</xdr:row>
      <xdr:rowOff>36419</xdr:rowOff>
    </xdr:from>
    <xdr:ext cx="171450" cy="155482"/>
    <xdr:pic>
      <xdr:nvPicPr>
        <xdr:cNvPr id="27" name="Picture 14">
          <a:extLst>
            <a:ext uri="{FF2B5EF4-FFF2-40B4-BE49-F238E27FC236}">
              <a16:creationId xmlns:a16="http://schemas.microsoft.com/office/drawing/2014/main" id="{38F88FE0-FFC6-4324-8721-43986545B1F9}"/>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7448430" y="10146526"/>
          <a:ext cx="171450" cy="155482"/>
        </a:xfrm>
        <a:prstGeom prst="rect">
          <a:avLst/>
        </a:prstGeom>
        <a:noFill/>
        <a:ln w="9525">
          <a:noFill/>
          <a:miter lim="800000"/>
          <a:headEnd/>
          <a:tailEnd/>
        </a:ln>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130176</xdr:colOff>
      <xdr:row>2</xdr:row>
      <xdr:rowOff>98558</xdr:rowOff>
    </xdr:from>
    <xdr:to>
      <xdr:col>1</xdr:col>
      <xdr:colOff>849090</xdr:colOff>
      <xdr:row>5</xdr:row>
      <xdr:rowOff>176233</xdr:rowOff>
    </xdr:to>
    <xdr:pic>
      <xdr:nvPicPr>
        <xdr:cNvPr id="3" name="Imagen 2">
          <a:extLst>
            <a:ext uri="{FF2B5EF4-FFF2-40B4-BE49-F238E27FC236}">
              <a16:creationId xmlns:a16="http://schemas.microsoft.com/office/drawing/2014/main" id="{3FB422D2-DAE3-49B3-BB7C-94AE4A463C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82676" y="612080"/>
          <a:ext cx="718914" cy="82311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4341159</xdr:colOff>
      <xdr:row>59</xdr:row>
      <xdr:rowOff>58830</xdr:rowOff>
    </xdr:from>
    <xdr:to>
      <xdr:col>3</xdr:col>
      <xdr:colOff>4484034</xdr:colOff>
      <xdr:row>59</xdr:row>
      <xdr:rowOff>180974</xdr:rowOff>
    </xdr:to>
    <xdr:pic>
      <xdr:nvPicPr>
        <xdr:cNvPr id="2" name="Picture 15">
          <a:extLst>
            <a:ext uri="{FF2B5EF4-FFF2-40B4-BE49-F238E27FC236}">
              <a16:creationId xmlns:a16="http://schemas.microsoft.com/office/drawing/2014/main" id="{1EEB6C43-2034-4E37-9EE9-713E35535641}"/>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160559" y="9402855"/>
          <a:ext cx="142875" cy="122144"/>
        </a:xfrm>
        <a:prstGeom prst="rect">
          <a:avLst/>
        </a:prstGeom>
        <a:noFill/>
        <a:ln w="9525">
          <a:noFill/>
          <a:miter lim="800000"/>
          <a:headEnd/>
          <a:tailEnd/>
        </a:ln>
      </xdr:spPr>
    </xdr:pic>
    <xdr:clientData/>
  </xdr:twoCellAnchor>
  <xdr:twoCellAnchor editAs="oneCell">
    <xdr:from>
      <xdr:col>3</xdr:col>
      <xdr:colOff>4672573</xdr:colOff>
      <xdr:row>59</xdr:row>
      <xdr:rowOff>36419</xdr:rowOff>
    </xdr:from>
    <xdr:to>
      <xdr:col>3</xdr:col>
      <xdr:colOff>4844023</xdr:colOff>
      <xdr:row>59</xdr:row>
      <xdr:rowOff>191901</xdr:rowOff>
    </xdr:to>
    <xdr:pic>
      <xdr:nvPicPr>
        <xdr:cNvPr id="3" name="Picture 14">
          <a:extLst>
            <a:ext uri="{FF2B5EF4-FFF2-40B4-BE49-F238E27FC236}">
              <a16:creationId xmlns:a16="http://schemas.microsoft.com/office/drawing/2014/main" id="{7E432BE5-AFCE-4E05-99DE-0A35B8CCF603}"/>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491973" y="9380444"/>
          <a:ext cx="171450" cy="155482"/>
        </a:xfrm>
        <a:prstGeom prst="rect">
          <a:avLst/>
        </a:prstGeom>
        <a:noFill/>
        <a:ln w="9525">
          <a:noFill/>
          <a:miter lim="800000"/>
          <a:headEnd/>
          <a:tailEnd/>
        </a:ln>
      </xdr:spPr>
    </xdr:pic>
    <xdr:clientData/>
  </xdr:twoCellAnchor>
  <xdr:oneCellAnchor>
    <xdr:from>
      <xdr:col>3</xdr:col>
      <xdr:colOff>1598379</xdr:colOff>
      <xdr:row>62</xdr:row>
      <xdr:rowOff>44824</xdr:rowOff>
    </xdr:from>
    <xdr:ext cx="190500" cy="157443"/>
    <xdr:pic>
      <xdr:nvPicPr>
        <xdr:cNvPr id="4" name="Picture 11">
          <a:extLst>
            <a:ext uri="{FF2B5EF4-FFF2-40B4-BE49-F238E27FC236}">
              <a16:creationId xmlns:a16="http://schemas.microsoft.com/office/drawing/2014/main" id="{0D26F964-20A2-47CC-A2E1-94B67E3A40B5}"/>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4417779" y="9988924"/>
          <a:ext cx="190500" cy="157443"/>
        </a:xfrm>
        <a:prstGeom prst="rect">
          <a:avLst/>
        </a:prstGeom>
        <a:noFill/>
        <a:ln w="9525">
          <a:noFill/>
          <a:miter lim="800000"/>
          <a:headEnd/>
          <a:tailEnd/>
        </a:ln>
      </xdr:spPr>
    </xdr:pic>
    <xdr:clientData/>
  </xdr:oneCellAnchor>
  <xdr:twoCellAnchor editAs="oneCell">
    <xdr:from>
      <xdr:col>3</xdr:col>
      <xdr:colOff>2469356</xdr:colOff>
      <xdr:row>63</xdr:row>
      <xdr:rowOff>9525</xdr:rowOff>
    </xdr:from>
    <xdr:to>
      <xdr:col>3</xdr:col>
      <xdr:colOff>2640806</xdr:colOff>
      <xdr:row>65</xdr:row>
      <xdr:rowOff>166689</xdr:rowOff>
    </xdr:to>
    <xdr:pic>
      <xdr:nvPicPr>
        <xdr:cNvPr id="5" name="Picture 13">
          <a:extLst>
            <a:ext uri="{FF2B5EF4-FFF2-40B4-BE49-F238E27FC236}">
              <a16:creationId xmlns:a16="http://schemas.microsoft.com/office/drawing/2014/main" id="{ACCBD595-1069-4F31-BAAD-BEE90B5B0D8E}"/>
            </a:ext>
          </a:extLst>
        </xdr:cNvPr>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blip>
        <a:srcRect/>
        <a:stretch>
          <a:fillRect/>
        </a:stretch>
      </xdr:blipFill>
      <xdr:spPr bwMode="auto">
        <a:xfrm>
          <a:off x="5288756" y="10153650"/>
          <a:ext cx="171450" cy="166689"/>
        </a:xfrm>
        <a:prstGeom prst="rect">
          <a:avLst/>
        </a:prstGeom>
        <a:noFill/>
        <a:ln w="9525">
          <a:noFill/>
          <a:miter lim="800000"/>
          <a:headEnd/>
          <a:tailEnd/>
        </a:ln>
      </xdr:spPr>
    </xdr:pic>
    <xdr:clientData/>
  </xdr:twoCellAnchor>
  <xdr:twoCellAnchor editAs="oneCell">
    <xdr:from>
      <xdr:col>3</xdr:col>
      <xdr:colOff>1876425</xdr:colOff>
      <xdr:row>64</xdr:row>
      <xdr:rowOff>23813</xdr:rowOff>
    </xdr:from>
    <xdr:to>
      <xdr:col>3</xdr:col>
      <xdr:colOff>2085975</xdr:colOff>
      <xdr:row>65</xdr:row>
      <xdr:rowOff>152400</xdr:rowOff>
    </xdr:to>
    <xdr:pic>
      <xdr:nvPicPr>
        <xdr:cNvPr id="6" name="Picture 10">
          <a:extLst>
            <a:ext uri="{FF2B5EF4-FFF2-40B4-BE49-F238E27FC236}">
              <a16:creationId xmlns:a16="http://schemas.microsoft.com/office/drawing/2014/main" id="{45BE5D2E-CCE0-4F6D-8724-0848D4560C45}"/>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4695825" y="10367963"/>
          <a:ext cx="209550" cy="152400"/>
        </a:xfrm>
        <a:prstGeom prst="rect">
          <a:avLst/>
        </a:prstGeom>
        <a:noFill/>
        <a:ln w="9525">
          <a:noFill/>
          <a:miter lim="800000"/>
          <a:headEnd/>
          <a:tailEnd/>
        </a:ln>
      </xdr:spPr>
    </xdr:pic>
    <xdr:clientData/>
  </xdr:twoCellAnchor>
  <xdr:oneCellAnchor>
    <xdr:from>
      <xdr:col>3</xdr:col>
      <xdr:colOff>1480578</xdr:colOff>
      <xdr:row>65</xdr:row>
      <xdr:rowOff>4061</xdr:rowOff>
    </xdr:from>
    <xdr:ext cx="219075" cy="180975"/>
    <xdr:pic>
      <xdr:nvPicPr>
        <xdr:cNvPr id="7" name="Picture 5">
          <a:extLst>
            <a:ext uri="{FF2B5EF4-FFF2-40B4-BE49-F238E27FC236}">
              <a16:creationId xmlns:a16="http://schemas.microsoft.com/office/drawing/2014/main" id="{318E8E82-13F2-4F99-A22F-935DE1DE9934}"/>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4299978" y="10548236"/>
          <a:ext cx="219075" cy="180975"/>
        </a:xfrm>
        <a:prstGeom prst="rect">
          <a:avLst/>
        </a:prstGeom>
        <a:noFill/>
        <a:ln w="9525">
          <a:noFill/>
          <a:miter lim="800000"/>
          <a:headEnd/>
          <a:tailEnd/>
        </a:ln>
      </xdr:spPr>
    </xdr:pic>
    <xdr:clientData/>
  </xdr:oneCellAnchor>
  <xdr:twoCellAnchor editAs="oneCell">
    <xdr:from>
      <xdr:col>3</xdr:col>
      <xdr:colOff>2233612</xdr:colOff>
      <xdr:row>66</xdr:row>
      <xdr:rowOff>38100</xdr:rowOff>
    </xdr:from>
    <xdr:to>
      <xdr:col>3</xdr:col>
      <xdr:colOff>2424112</xdr:colOff>
      <xdr:row>66</xdr:row>
      <xdr:rowOff>171450</xdr:rowOff>
    </xdr:to>
    <xdr:pic>
      <xdr:nvPicPr>
        <xdr:cNvPr id="8" name="Picture 6">
          <a:extLst>
            <a:ext uri="{FF2B5EF4-FFF2-40B4-BE49-F238E27FC236}">
              <a16:creationId xmlns:a16="http://schemas.microsoft.com/office/drawing/2014/main" id="{9297CD41-302C-466E-B760-DDFAFCE713A3}"/>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53012" y="10782300"/>
          <a:ext cx="190500" cy="133350"/>
        </a:xfrm>
        <a:prstGeom prst="rect">
          <a:avLst/>
        </a:prstGeom>
        <a:noFill/>
        <a:ln w="9525">
          <a:noFill/>
          <a:miter lim="800000"/>
          <a:headEnd/>
          <a:tailEnd/>
        </a:ln>
      </xdr:spPr>
    </xdr:pic>
    <xdr:clientData/>
  </xdr:twoCellAnchor>
  <xdr:twoCellAnchor editAs="oneCell">
    <xdr:from>
      <xdr:col>3</xdr:col>
      <xdr:colOff>3157957</xdr:colOff>
      <xdr:row>67</xdr:row>
      <xdr:rowOff>77460</xdr:rowOff>
    </xdr:from>
    <xdr:to>
      <xdr:col>3</xdr:col>
      <xdr:colOff>3348457</xdr:colOff>
      <xdr:row>68</xdr:row>
      <xdr:rowOff>0</xdr:rowOff>
    </xdr:to>
    <xdr:pic>
      <xdr:nvPicPr>
        <xdr:cNvPr id="9" name="Picture 6">
          <a:extLst>
            <a:ext uri="{FF2B5EF4-FFF2-40B4-BE49-F238E27FC236}">
              <a16:creationId xmlns:a16="http://schemas.microsoft.com/office/drawing/2014/main" id="{C19B5133-4B90-4E81-BB1C-F4F04D8D697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977357" y="11021685"/>
          <a:ext cx="190500" cy="131669"/>
        </a:xfrm>
        <a:prstGeom prst="rect">
          <a:avLst/>
        </a:prstGeom>
        <a:noFill/>
        <a:ln w="9525">
          <a:noFill/>
          <a:miter lim="800000"/>
          <a:headEnd/>
          <a:tailEnd/>
        </a:ln>
      </xdr:spPr>
    </xdr:pic>
    <xdr:clientData/>
  </xdr:twoCellAnchor>
  <xdr:twoCellAnchor editAs="oneCell">
    <xdr:from>
      <xdr:col>3</xdr:col>
      <xdr:colOff>2105026</xdr:colOff>
      <xdr:row>64</xdr:row>
      <xdr:rowOff>28575</xdr:rowOff>
    </xdr:from>
    <xdr:to>
      <xdr:col>3</xdr:col>
      <xdr:colOff>2352676</xdr:colOff>
      <xdr:row>65</xdr:row>
      <xdr:rowOff>147637</xdr:rowOff>
    </xdr:to>
    <xdr:pic>
      <xdr:nvPicPr>
        <xdr:cNvPr id="10" name="product-main-image" descr="https://dhb3yazwboecu.cloudfront.net/980/imagenes/productos/cerr/16051_m.jpg">
          <a:extLst>
            <a:ext uri="{FF2B5EF4-FFF2-40B4-BE49-F238E27FC236}">
              <a16:creationId xmlns:a16="http://schemas.microsoft.com/office/drawing/2014/main" id="{BCB89340-74EA-4541-9BE3-E250D518224D}"/>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1" t="39428" r="517"/>
        <a:stretch/>
      </xdr:blipFill>
      <xdr:spPr bwMode="auto">
        <a:xfrm>
          <a:off x="4924426" y="10372725"/>
          <a:ext cx="247650" cy="1476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1714501</xdr:colOff>
      <xdr:row>73</xdr:row>
      <xdr:rowOff>9525</xdr:rowOff>
    </xdr:from>
    <xdr:to>
      <xdr:col>3</xdr:col>
      <xdr:colOff>2038351</xdr:colOff>
      <xdr:row>80</xdr:row>
      <xdr:rowOff>170472</xdr:rowOff>
    </xdr:to>
    <xdr:pic>
      <xdr:nvPicPr>
        <xdr:cNvPr id="11" name="product-main-image" descr="https://dhb3yazwboecu.cloudfront.net/980/imagenes/productos/cerr/1610_m.jpg">
          <a:extLst>
            <a:ext uri="{FF2B5EF4-FFF2-40B4-BE49-F238E27FC236}">
              <a16:creationId xmlns:a16="http://schemas.microsoft.com/office/drawing/2014/main" id="{7EBC175B-7422-4F61-8B0E-78F07CF7FBD7}"/>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1" t="43714" r="517"/>
        <a:stretch/>
      </xdr:blipFill>
      <xdr:spPr bwMode="auto">
        <a:xfrm>
          <a:off x="4533901" y="12153900"/>
          <a:ext cx="323850" cy="1704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1621630</xdr:colOff>
      <xdr:row>74</xdr:row>
      <xdr:rowOff>0</xdr:rowOff>
    </xdr:from>
    <xdr:to>
      <xdr:col>3</xdr:col>
      <xdr:colOff>1907381</xdr:colOff>
      <xdr:row>80</xdr:row>
      <xdr:rowOff>167819</xdr:rowOff>
    </xdr:to>
    <xdr:pic>
      <xdr:nvPicPr>
        <xdr:cNvPr id="12" name="product-main-image" descr="https://dhb3yazwboecu.cloudfront.net/980/imagenes/productos/cerr/Perfil_union_omegas_cleantech_m.jpg">
          <a:extLst>
            <a:ext uri="{FF2B5EF4-FFF2-40B4-BE49-F238E27FC236}">
              <a16:creationId xmlns:a16="http://schemas.microsoft.com/office/drawing/2014/main" id="{61BEB840-823D-4695-A2CE-C2A064195F9E}"/>
            </a:ext>
          </a:extLst>
        </xdr:cNvPr>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t="31143" r="-1143" b="11143"/>
        <a:stretch/>
      </xdr:blipFill>
      <xdr:spPr bwMode="auto">
        <a:xfrm>
          <a:off x="4441030" y="12344400"/>
          <a:ext cx="285751" cy="1678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2714626</xdr:colOff>
      <xdr:row>76</xdr:row>
      <xdr:rowOff>19051</xdr:rowOff>
    </xdr:from>
    <xdr:to>
      <xdr:col>3</xdr:col>
      <xdr:colOff>2905126</xdr:colOff>
      <xdr:row>80</xdr:row>
      <xdr:rowOff>164781</xdr:rowOff>
    </xdr:to>
    <xdr:pic>
      <xdr:nvPicPr>
        <xdr:cNvPr id="13" name="product-main-image" descr="https://dhb3yazwboecu.cloudfront.net/980/imagenes/productos/cerr/Perfil_tirante_perfil_T_1cleantech_m.jpg">
          <a:extLst>
            <a:ext uri="{FF2B5EF4-FFF2-40B4-BE49-F238E27FC236}">
              <a16:creationId xmlns:a16="http://schemas.microsoft.com/office/drawing/2014/main" id="{7D794862-E3CA-43AE-B6DA-4BC6871302CF}"/>
            </a:ext>
          </a:extLst>
        </xdr:cNvPr>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t="16000"/>
        <a:stretch/>
      </xdr:blipFill>
      <xdr:spPr bwMode="auto">
        <a:xfrm>
          <a:off x="5534026" y="12763501"/>
          <a:ext cx="190500" cy="1647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1790700</xdr:colOff>
      <xdr:row>75</xdr:row>
      <xdr:rowOff>0</xdr:rowOff>
    </xdr:from>
    <xdr:to>
      <xdr:col>3</xdr:col>
      <xdr:colOff>2047875</xdr:colOff>
      <xdr:row>80</xdr:row>
      <xdr:rowOff>151555</xdr:rowOff>
    </xdr:to>
    <xdr:pic>
      <xdr:nvPicPr>
        <xdr:cNvPr id="14" name="product-main-image" descr="https://dhb3yazwboecu.cloudfront.net/980/imagenes/productos/cerr/1610_m.jpg">
          <a:extLst>
            <a:ext uri="{FF2B5EF4-FFF2-40B4-BE49-F238E27FC236}">
              <a16:creationId xmlns:a16="http://schemas.microsoft.com/office/drawing/2014/main" id="{7C808704-7000-46E0-BA32-A047BEA90AC4}"/>
            </a:ext>
          </a:extLst>
        </xdr:cNvPr>
        <xdr:cNvPicPr>
          <a:picLocks noChangeAspect="1" noChangeArrowheads="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1" t="40000" r="1550"/>
        <a:stretch/>
      </xdr:blipFill>
      <xdr:spPr bwMode="auto">
        <a:xfrm>
          <a:off x="4610100" y="12544425"/>
          <a:ext cx="257175" cy="1515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2124075</xdr:colOff>
      <xdr:row>71</xdr:row>
      <xdr:rowOff>152401</xdr:rowOff>
    </xdr:from>
    <xdr:to>
      <xdr:col>3</xdr:col>
      <xdr:colOff>2362200</xdr:colOff>
      <xdr:row>80</xdr:row>
      <xdr:rowOff>198335</xdr:rowOff>
    </xdr:to>
    <xdr:pic>
      <xdr:nvPicPr>
        <xdr:cNvPr id="15" name="product-main-image" descr="https://dhb3yazwboecu.cloudfront.net/980/imagenes/productos/cerr/Perfil_soporte_T_techos_2cleantech_m.jpg">
          <a:extLst>
            <a:ext uri="{FF2B5EF4-FFF2-40B4-BE49-F238E27FC236}">
              <a16:creationId xmlns:a16="http://schemas.microsoft.com/office/drawing/2014/main" id="{16E7142E-7134-4380-8870-EE016CFCC752}"/>
            </a:ext>
          </a:extLst>
        </xdr:cNvPr>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22572" t="28001" r="4285" b="12856"/>
        <a:stretch/>
      </xdr:blipFill>
      <xdr:spPr bwMode="auto">
        <a:xfrm>
          <a:off x="4943475" y="11896726"/>
          <a:ext cx="238125" cy="2003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2483644</xdr:colOff>
      <xdr:row>71</xdr:row>
      <xdr:rowOff>0</xdr:rowOff>
    </xdr:from>
    <xdr:to>
      <xdr:col>3</xdr:col>
      <xdr:colOff>2731294</xdr:colOff>
      <xdr:row>80</xdr:row>
      <xdr:rowOff>166017</xdr:rowOff>
    </xdr:to>
    <xdr:pic>
      <xdr:nvPicPr>
        <xdr:cNvPr id="16" name="Imagen 15" descr="https://dhb3yazwboecu.cloudfront.net/980/imagenes/productos/cerr/Perfil_soporte_L_techos_2cleantech_l.jpg">
          <a:extLst>
            <a:ext uri="{FF2B5EF4-FFF2-40B4-BE49-F238E27FC236}">
              <a16:creationId xmlns:a16="http://schemas.microsoft.com/office/drawing/2014/main" id="{75687FE9-6877-4F7D-8E67-5B35388BCCD9}"/>
            </a:ext>
          </a:extLst>
        </xdr:cNvPr>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20795" t="32627" r="394" b="15389"/>
        <a:stretch/>
      </xdr:blipFill>
      <xdr:spPr bwMode="auto">
        <a:xfrm>
          <a:off x="5303044" y="11744325"/>
          <a:ext cx="247650" cy="166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3024188</xdr:colOff>
      <xdr:row>60</xdr:row>
      <xdr:rowOff>38100</xdr:rowOff>
    </xdr:from>
    <xdr:ext cx="171450" cy="155482"/>
    <xdr:pic>
      <xdr:nvPicPr>
        <xdr:cNvPr id="17" name="Picture 14">
          <a:extLst>
            <a:ext uri="{FF2B5EF4-FFF2-40B4-BE49-F238E27FC236}">
              <a16:creationId xmlns:a16="http://schemas.microsoft.com/office/drawing/2014/main" id="{D0C31B13-D683-4570-8DEA-423D75C85146}"/>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5843588" y="9582150"/>
          <a:ext cx="171450" cy="155482"/>
        </a:xfrm>
        <a:prstGeom prst="rect">
          <a:avLst/>
        </a:prstGeom>
        <a:noFill/>
        <a:ln w="9525">
          <a:noFill/>
          <a:miter lim="800000"/>
          <a:headEnd/>
          <a:tailEnd/>
        </a:ln>
      </xdr:spPr>
    </xdr:pic>
    <xdr:clientData/>
  </xdr:oneCellAnchor>
  <xdr:oneCellAnchor>
    <xdr:from>
      <xdr:col>3</xdr:col>
      <xdr:colOff>2409825</xdr:colOff>
      <xdr:row>61</xdr:row>
      <xdr:rowOff>38100</xdr:rowOff>
    </xdr:from>
    <xdr:ext cx="142875" cy="122144"/>
    <xdr:pic>
      <xdr:nvPicPr>
        <xdr:cNvPr id="18" name="Picture 15">
          <a:extLst>
            <a:ext uri="{FF2B5EF4-FFF2-40B4-BE49-F238E27FC236}">
              <a16:creationId xmlns:a16="http://schemas.microsoft.com/office/drawing/2014/main" id="{385FE517-A737-4426-98E3-72141BE981C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229225" y="9782175"/>
          <a:ext cx="142875" cy="122144"/>
        </a:xfrm>
        <a:prstGeom prst="rect">
          <a:avLst/>
        </a:prstGeom>
        <a:noFill/>
        <a:ln w="9525">
          <a:noFill/>
          <a:miter lim="800000"/>
          <a:headEnd/>
          <a:tailEnd/>
        </a:ln>
      </xdr:spPr>
    </xdr:pic>
    <xdr:clientData/>
  </xdr:oneCellAnchor>
  <xdr:oneCellAnchor>
    <xdr:from>
      <xdr:col>3</xdr:col>
      <xdr:colOff>2288939</xdr:colOff>
      <xdr:row>76</xdr:row>
      <xdr:rowOff>28576</xdr:rowOff>
    </xdr:from>
    <xdr:ext cx="168511" cy="157162"/>
    <xdr:pic>
      <xdr:nvPicPr>
        <xdr:cNvPr id="19" name="product-main-image" descr="https://dhb3yazwboecu.cloudfront.net/980/imagenes/productos/cerr/1611_m.jpg">
          <a:extLst>
            <a:ext uri="{FF2B5EF4-FFF2-40B4-BE49-F238E27FC236}">
              <a16:creationId xmlns:a16="http://schemas.microsoft.com/office/drawing/2014/main" id="{63B59F57-ED84-48AF-ADD1-E6CECEDF239F}"/>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108339" y="12773026"/>
          <a:ext cx="168511" cy="15716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2288939</xdr:colOff>
      <xdr:row>76</xdr:row>
      <xdr:rowOff>28576</xdr:rowOff>
    </xdr:from>
    <xdr:ext cx="168511" cy="157162"/>
    <xdr:pic>
      <xdr:nvPicPr>
        <xdr:cNvPr id="20" name="product-main-image" descr="https://dhb3yazwboecu.cloudfront.net/980/imagenes/productos/cerr/1611_m.jpg">
          <a:extLst>
            <a:ext uri="{FF2B5EF4-FFF2-40B4-BE49-F238E27FC236}">
              <a16:creationId xmlns:a16="http://schemas.microsoft.com/office/drawing/2014/main" id="{3E54893B-A931-4FDA-BA0E-C40A1C3A88D2}"/>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108339" y="12773026"/>
          <a:ext cx="168511" cy="15716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66676</xdr:colOff>
      <xdr:row>1</xdr:row>
      <xdr:rowOff>42361</xdr:rowOff>
    </xdr:from>
    <xdr:to>
      <xdr:col>1</xdr:col>
      <xdr:colOff>638175</xdr:colOff>
      <xdr:row>1</xdr:row>
      <xdr:rowOff>684619</xdr:rowOff>
    </xdr:to>
    <xdr:pic>
      <xdr:nvPicPr>
        <xdr:cNvPr id="21" name="Imagen 20">
          <a:extLst>
            <a:ext uri="{FF2B5EF4-FFF2-40B4-BE49-F238E27FC236}">
              <a16:creationId xmlns:a16="http://schemas.microsoft.com/office/drawing/2014/main" id="{D7AE5E01-E435-4CCA-8FE3-D26EBA09EDD7}"/>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85751" y="232861"/>
          <a:ext cx="571499" cy="64225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67234</xdr:colOff>
      <xdr:row>0</xdr:row>
      <xdr:rowOff>136336</xdr:rowOff>
    </xdr:from>
    <xdr:to>
      <xdr:col>0</xdr:col>
      <xdr:colOff>1109381</xdr:colOff>
      <xdr:row>2</xdr:row>
      <xdr:rowOff>159523</xdr:rowOff>
    </xdr:to>
    <xdr:pic>
      <xdr:nvPicPr>
        <xdr:cNvPr id="3" name="Imagen 2" descr="STE Engipharm · Ingeniería para entorno de sala blanca">
          <a:extLst>
            <a:ext uri="{FF2B5EF4-FFF2-40B4-BE49-F238E27FC236}">
              <a16:creationId xmlns:a16="http://schemas.microsoft.com/office/drawing/2014/main" id="{EEF82FDD-3626-F23C-0728-BD3F39B08F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234" y="136336"/>
          <a:ext cx="1042147" cy="471422"/>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66676</xdr:colOff>
      <xdr:row>1</xdr:row>
      <xdr:rowOff>42361</xdr:rowOff>
    </xdr:from>
    <xdr:to>
      <xdr:col>2</xdr:col>
      <xdr:colOff>290792</xdr:colOff>
      <xdr:row>1</xdr:row>
      <xdr:rowOff>684619</xdr:rowOff>
    </xdr:to>
    <xdr:pic>
      <xdr:nvPicPr>
        <xdr:cNvPr id="21" name="Imagen 20">
          <a:extLst>
            <a:ext uri="{FF2B5EF4-FFF2-40B4-BE49-F238E27FC236}">
              <a16:creationId xmlns:a16="http://schemas.microsoft.com/office/drawing/2014/main" id="{F8531CE7-0DFC-41A5-B650-92135660C80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8626" y="232861"/>
          <a:ext cx="571499" cy="642258"/>
        </a:xfrm>
        <a:prstGeom prst="rect">
          <a:avLst/>
        </a:prstGeom>
      </xdr:spPr>
    </xdr:pic>
    <xdr:clientData/>
  </xdr:twoCellAnchor>
  <xdr:twoCellAnchor>
    <xdr:from>
      <xdr:col>2</xdr:col>
      <xdr:colOff>89809</xdr:colOff>
      <xdr:row>39</xdr:row>
      <xdr:rowOff>193221</xdr:rowOff>
    </xdr:from>
    <xdr:to>
      <xdr:col>2</xdr:col>
      <xdr:colOff>989008</xdr:colOff>
      <xdr:row>39</xdr:row>
      <xdr:rowOff>979714</xdr:rowOff>
    </xdr:to>
    <xdr:pic>
      <xdr:nvPicPr>
        <xdr:cNvPr id="11" name="Imagen 10">
          <a:extLst>
            <a:ext uri="{FF2B5EF4-FFF2-40B4-BE49-F238E27FC236}">
              <a16:creationId xmlns:a16="http://schemas.microsoft.com/office/drawing/2014/main" id="{F01CFB3B-BD1E-4903-A625-19AC4F085155}"/>
            </a:ext>
          </a:extLst>
        </xdr:cNvPr>
        <xdr:cNvPicPr>
          <a:picLocks noChangeAspect="1"/>
        </xdr:cNvPicPr>
      </xdr:nvPicPr>
      <xdr:blipFill>
        <a:blip xmlns:r="http://schemas.openxmlformats.org/officeDocument/2006/relationships" r:embed="rId2"/>
        <a:stretch>
          <a:fillRect/>
        </a:stretch>
      </xdr:blipFill>
      <xdr:spPr>
        <a:xfrm>
          <a:off x="830038" y="16162564"/>
          <a:ext cx="899199" cy="786493"/>
        </a:xfrm>
        <a:prstGeom prst="rect">
          <a:avLst/>
        </a:prstGeom>
      </xdr:spPr>
    </xdr:pic>
    <xdr:clientData/>
  </xdr:twoCellAnchor>
  <xdr:twoCellAnchor>
    <xdr:from>
      <xdr:col>2</xdr:col>
      <xdr:colOff>122464</xdr:colOff>
      <xdr:row>57</xdr:row>
      <xdr:rowOff>27214</xdr:rowOff>
    </xdr:from>
    <xdr:to>
      <xdr:col>2</xdr:col>
      <xdr:colOff>894402</xdr:colOff>
      <xdr:row>57</xdr:row>
      <xdr:rowOff>1050542</xdr:rowOff>
    </xdr:to>
    <xdr:pic>
      <xdr:nvPicPr>
        <xdr:cNvPr id="13" name="Imagen 12">
          <a:extLst>
            <a:ext uri="{FF2B5EF4-FFF2-40B4-BE49-F238E27FC236}">
              <a16:creationId xmlns:a16="http://schemas.microsoft.com/office/drawing/2014/main" id="{FB5335AE-D362-4822-B538-895FB4F957A6}"/>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rightnessContrast bright="44000"/>
                  </a14:imgEffect>
                </a14:imgLayer>
              </a14:imgProps>
            </a:ext>
          </a:extLst>
        </a:blip>
        <a:stretch>
          <a:fillRect/>
        </a:stretch>
      </xdr:blipFill>
      <xdr:spPr>
        <a:xfrm>
          <a:off x="857250" y="19145250"/>
          <a:ext cx="771938" cy="1023328"/>
        </a:xfrm>
        <a:prstGeom prst="rect">
          <a:avLst/>
        </a:prstGeom>
      </xdr:spPr>
    </xdr:pic>
    <xdr:clientData/>
  </xdr:twoCellAnchor>
  <xdr:twoCellAnchor>
    <xdr:from>
      <xdr:col>2</xdr:col>
      <xdr:colOff>108858</xdr:colOff>
      <xdr:row>77</xdr:row>
      <xdr:rowOff>81642</xdr:rowOff>
    </xdr:from>
    <xdr:to>
      <xdr:col>2</xdr:col>
      <xdr:colOff>949484</xdr:colOff>
      <xdr:row>77</xdr:row>
      <xdr:rowOff>1036256</xdr:rowOff>
    </xdr:to>
    <xdr:pic>
      <xdr:nvPicPr>
        <xdr:cNvPr id="14" name="Imagen 13">
          <a:extLst>
            <a:ext uri="{FF2B5EF4-FFF2-40B4-BE49-F238E27FC236}">
              <a16:creationId xmlns:a16="http://schemas.microsoft.com/office/drawing/2014/main" id="{D5B3CD4B-9D2A-472A-80CB-EC5BBA8DCFC6}"/>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colorTemperature colorTemp="4971"/>
                  </a14:imgEffect>
                  <a14:imgEffect>
                    <a14:saturation sat="74000"/>
                  </a14:imgEffect>
                  <a14:imgEffect>
                    <a14:brightnessContrast bright="32000"/>
                  </a14:imgEffect>
                </a14:imgLayer>
              </a14:imgProps>
            </a:ext>
          </a:extLst>
        </a:blip>
        <a:stretch>
          <a:fillRect/>
        </a:stretch>
      </xdr:blipFill>
      <xdr:spPr>
        <a:xfrm>
          <a:off x="843644" y="24764999"/>
          <a:ext cx="840626" cy="954614"/>
        </a:xfrm>
        <a:prstGeom prst="rect">
          <a:avLst/>
        </a:prstGeom>
      </xdr:spPr>
    </xdr:pic>
    <xdr:clientData/>
  </xdr:twoCellAnchor>
  <xdr:twoCellAnchor>
    <xdr:from>
      <xdr:col>2</xdr:col>
      <xdr:colOff>163286</xdr:colOff>
      <xdr:row>85</xdr:row>
      <xdr:rowOff>81644</xdr:rowOff>
    </xdr:from>
    <xdr:to>
      <xdr:col>2</xdr:col>
      <xdr:colOff>922358</xdr:colOff>
      <xdr:row>85</xdr:row>
      <xdr:rowOff>1061358</xdr:rowOff>
    </xdr:to>
    <xdr:pic>
      <xdr:nvPicPr>
        <xdr:cNvPr id="15" name="Imagen 14">
          <a:extLst>
            <a:ext uri="{FF2B5EF4-FFF2-40B4-BE49-F238E27FC236}">
              <a16:creationId xmlns:a16="http://schemas.microsoft.com/office/drawing/2014/main" id="{FA75CE5A-1BA4-4797-9B23-8DC770BDA071}"/>
            </a:ext>
          </a:extLst>
        </xdr:cNvPr>
        <xdr:cNvPicPr>
          <a:picLocks noChangeAspect="1"/>
        </xdr:cNvPicPr>
      </xdr:nvPicPr>
      <xdr:blipFill>
        <a:blip xmlns:r="http://schemas.openxmlformats.org/officeDocument/2006/relationships" r:embed="rId7"/>
        <a:stretch>
          <a:fillRect/>
        </a:stretch>
      </xdr:blipFill>
      <xdr:spPr>
        <a:xfrm>
          <a:off x="898072" y="30343930"/>
          <a:ext cx="759072" cy="979714"/>
        </a:xfrm>
        <a:prstGeom prst="rect">
          <a:avLst/>
        </a:prstGeom>
      </xdr:spPr>
    </xdr:pic>
    <xdr:clientData/>
  </xdr:twoCellAnchor>
  <xdr:twoCellAnchor>
    <xdr:from>
      <xdr:col>2</xdr:col>
      <xdr:colOff>108857</xdr:colOff>
      <xdr:row>174</xdr:row>
      <xdr:rowOff>54430</xdr:rowOff>
    </xdr:from>
    <xdr:to>
      <xdr:col>2</xdr:col>
      <xdr:colOff>1013184</xdr:colOff>
      <xdr:row>174</xdr:row>
      <xdr:rowOff>860844</xdr:rowOff>
    </xdr:to>
    <xdr:pic>
      <xdr:nvPicPr>
        <xdr:cNvPr id="27" name="Imagen 26" descr="Un refrigerador con la puerta abierta&#10;&#10;Descripción generada automáticamente con confianza baja">
          <a:extLst>
            <a:ext uri="{FF2B5EF4-FFF2-40B4-BE49-F238E27FC236}">
              <a16:creationId xmlns:a16="http://schemas.microsoft.com/office/drawing/2014/main" id="{2E13F397-4E63-484B-8BAB-E8E94E386528}"/>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48514" t="18972" r="25101" b="64164"/>
        <a:stretch/>
      </xdr:blipFill>
      <xdr:spPr>
        <a:xfrm>
          <a:off x="843643" y="55952573"/>
          <a:ext cx="904327" cy="806414"/>
        </a:xfrm>
        <a:prstGeom prst="rect">
          <a:avLst/>
        </a:prstGeom>
      </xdr:spPr>
    </xdr:pic>
    <xdr:clientData/>
  </xdr:twoCellAnchor>
  <xdr:twoCellAnchor>
    <xdr:from>
      <xdr:col>2</xdr:col>
      <xdr:colOff>54427</xdr:colOff>
      <xdr:row>177</xdr:row>
      <xdr:rowOff>149678</xdr:rowOff>
    </xdr:from>
    <xdr:to>
      <xdr:col>2</xdr:col>
      <xdr:colOff>1020535</xdr:colOff>
      <xdr:row>182</xdr:row>
      <xdr:rowOff>353784</xdr:rowOff>
    </xdr:to>
    <xdr:pic>
      <xdr:nvPicPr>
        <xdr:cNvPr id="28" name="Imagen 27">
          <a:extLst>
            <a:ext uri="{FF2B5EF4-FFF2-40B4-BE49-F238E27FC236}">
              <a16:creationId xmlns:a16="http://schemas.microsoft.com/office/drawing/2014/main" id="{5CBDC634-D425-4E27-910A-2714720F8EE7}"/>
            </a:ext>
          </a:extLst>
        </xdr:cNvPr>
        <xdr:cNvPicPr>
          <a:picLocks noChangeAspect="1"/>
        </xdr:cNvPicPr>
      </xdr:nvPicPr>
      <xdr:blipFill>
        <a:blip xmlns:r="http://schemas.openxmlformats.org/officeDocument/2006/relationships" r:embed="rId9"/>
        <a:stretch>
          <a:fillRect/>
        </a:stretch>
      </xdr:blipFill>
      <xdr:spPr>
        <a:xfrm>
          <a:off x="789213" y="54442178"/>
          <a:ext cx="966108" cy="2354035"/>
        </a:xfrm>
        <a:prstGeom prst="rect">
          <a:avLst/>
        </a:prstGeom>
      </xdr:spPr>
    </xdr:pic>
    <xdr:clientData/>
  </xdr:twoCellAnchor>
  <xdr:twoCellAnchor>
    <xdr:from>
      <xdr:col>2</xdr:col>
      <xdr:colOff>113360</xdr:colOff>
      <xdr:row>188</xdr:row>
      <xdr:rowOff>44824</xdr:rowOff>
    </xdr:from>
    <xdr:to>
      <xdr:col>2</xdr:col>
      <xdr:colOff>968508</xdr:colOff>
      <xdr:row>188</xdr:row>
      <xdr:rowOff>1086171</xdr:rowOff>
    </xdr:to>
    <xdr:pic>
      <xdr:nvPicPr>
        <xdr:cNvPr id="29" name="Imagen 28">
          <a:extLst>
            <a:ext uri="{FF2B5EF4-FFF2-40B4-BE49-F238E27FC236}">
              <a16:creationId xmlns:a16="http://schemas.microsoft.com/office/drawing/2014/main" id="{B3F7C4BA-415F-435C-8B5B-FC88CE13B661}"/>
            </a:ext>
          </a:extLst>
        </xdr:cNvPr>
        <xdr:cNvPicPr>
          <a:picLocks noChangeAspect="1"/>
        </xdr:cNvPicPr>
      </xdr:nvPicPr>
      <xdr:blipFill>
        <a:blip xmlns:r="http://schemas.openxmlformats.org/officeDocument/2006/relationships" r:embed="rId10"/>
        <a:stretch>
          <a:fillRect/>
        </a:stretch>
      </xdr:blipFill>
      <xdr:spPr>
        <a:xfrm>
          <a:off x="830536" y="114905118"/>
          <a:ext cx="855148" cy="1041347"/>
        </a:xfrm>
        <a:prstGeom prst="rect">
          <a:avLst/>
        </a:prstGeom>
      </xdr:spPr>
    </xdr:pic>
    <xdr:clientData/>
  </xdr:twoCellAnchor>
  <xdr:twoCellAnchor>
    <xdr:from>
      <xdr:col>2</xdr:col>
      <xdr:colOff>149679</xdr:colOff>
      <xdr:row>213</xdr:row>
      <xdr:rowOff>244928</xdr:rowOff>
    </xdr:from>
    <xdr:to>
      <xdr:col>2</xdr:col>
      <xdr:colOff>941443</xdr:colOff>
      <xdr:row>213</xdr:row>
      <xdr:rowOff>775607</xdr:rowOff>
    </xdr:to>
    <xdr:pic>
      <xdr:nvPicPr>
        <xdr:cNvPr id="37" name="Imagen 36">
          <a:extLst>
            <a:ext uri="{FF2B5EF4-FFF2-40B4-BE49-F238E27FC236}">
              <a16:creationId xmlns:a16="http://schemas.microsoft.com/office/drawing/2014/main" id="{173CF3FB-587C-4FE2-B840-E498FB50D6A8}"/>
            </a:ext>
          </a:extLst>
        </xdr:cNvPr>
        <xdr:cNvPicPr>
          <a:picLocks noChangeAspect="1"/>
        </xdr:cNvPicPr>
      </xdr:nvPicPr>
      <xdr:blipFill>
        <a:blip xmlns:r="http://schemas.openxmlformats.org/officeDocument/2006/relationships" r:embed="rId11"/>
        <a:stretch>
          <a:fillRect/>
        </a:stretch>
      </xdr:blipFill>
      <xdr:spPr>
        <a:xfrm>
          <a:off x="884465" y="67845214"/>
          <a:ext cx="791764" cy="530679"/>
        </a:xfrm>
        <a:prstGeom prst="rect">
          <a:avLst/>
        </a:prstGeom>
      </xdr:spPr>
    </xdr:pic>
    <xdr:clientData/>
  </xdr:twoCellAnchor>
  <xdr:twoCellAnchor>
    <xdr:from>
      <xdr:col>2</xdr:col>
      <xdr:colOff>177341</xdr:colOff>
      <xdr:row>222</xdr:row>
      <xdr:rowOff>85725</xdr:rowOff>
    </xdr:from>
    <xdr:to>
      <xdr:col>2</xdr:col>
      <xdr:colOff>1057275</xdr:colOff>
      <xdr:row>222</xdr:row>
      <xdr:rowOff>921123</xdr:rowOff>
    </xdr:to>
    <xdr:pic>
      <xdr:nvPicPr>
        <xdr:cNvPr id="41" name="Imagen 40">
          <a:extLst>
            <a:ext uri="{FF2B5EF4-FFF2-40B4-BE49-F238E27FC236}">
              <a16:creationId xmlns:a16="http://schemas.microsoft.com/office/drawing/2014/main" id="{86CBFCB6-5BE5-4D76-B41E-0B035B2B4601}"/>
            </a:ext>
          </a:extLst>
        </xdr:cNvPr>
        <xdr:cNvPicPr>
          <a:picLocks noChangeAspect="1"/>
        </xdr:cNvPicPr>
      </xdr:nvPicPr>
      <xdr:blipFill>
        <a:blip xmlns:r="http://schemas.openxmlformats.org/officeDocument/2006/relationships" r:embed="rId12"/>
        <a:stretch>
          <a:fillRect/>
        </a:stretch>
      </xdr:blipFill>
      <xdr:spPr>
        <a:xfrm>
          <a:off x="901241" y="144960975"/>
          <a:ext cx="879934" cy="835398"/>
        </a:xfrm>
        <a:prstGeom prst="rect">
          <a:avLst/>
        </a:prstGeom>
      </xdr:spPr>
    </xdr:pic>
    <xdr:clientData/>
  </xdr:twoCellAnchor>
  <xdr:twoCellAnchor>
    <xdr:from>
      <xdr:col>2</xdr:col>
      <xdr:colOff>180974</xdr:colOff>
      <xdr:row>227</xdr:row>
      <xdr:rowOff>64408</xdr:rowOff>
    </xdr:from>
    <xdr:to>
      <xdr:col>2</xdr:col>
      <xdr:colOff>1066799</xdr:colOff>
      <xdr:row>227</xdr:row>
      <xdr:rowOff>823090</xdr:rowOff>
    </xdr:to>
    <xdr:pic>
      <xdr:nvPicPr>
        <xdr:cNvPr id="43" name="Imagen 42">
          <a:extLst>
            <a:ext uri="{FF2B5EF4-FFF2-40B4-BE49-F238E27FC236}">
              <a16:creationId xmlns:a16="http://schemas.microsoft.com/office/drawing/2014/main" id="{E37406C0-2930-4FD4-8A30-1438AE30C01E}"/>
            </a:ext>
          </a:extLst>
        </xdr:cNvPr>
        <xdr:cNvPicPr>
          <a:picLocks noChangeAspect="1"/>
        </xdr:cNvPicPr>
      </xdr:nvPicPr>
      <xdr:blipFill>
        <a:blip xmlns:r="http://schemas.openxmlformats.org/officeDocument/2006/relationships" r:embed="rId13">
          <a:extLst>
            <a:ext uri="{BEBA8EAE-BF5A-486C-A8C5-ECC9F3942E4B}">
              <a14:imgProps xmlns:a14="http://schemas.microsoft.com/office/drawing/2010/main">
                <a14:imgLayer r:embed="rId14">
                  <a14:imgEffect>
                    <a14:sharpenSoften amount="46000"/>
                  </a14:imgEffect>
                </a14:imgLayer>
              </a14:imgProps>
            </a:ext>
          </a:extLst>
        </a:blip>
        <a:stretch>
          <a:fillRect/>
        </a:stretch>
      </xdr:blipFill>
      <xdr:spPr>
        <a:xfrm>
          <a:off x="904874" y="147473308"/>
          <a:ext cx="885825" cy="758682"/>
        </a:xfrm>
        <a:prstGeom prst="rect">
          <a:avLst/>
        </a:prstGeom>
      </xdr:spPr>
    </xdr:pic>
    <xdr:clientData/>
  </xdr:twoCellAnchor>
  <xdr:twoCellAnchor>
    <xdr:from>
      <xdr:col>2</xdr:col>
      <xdr:colOff>139907</xdr:colOff>
      <xdr:row>231</xdr:row>
      <xdr:rowOff>81643</xdr:rowOff>
    </xdr:from>
    <xdr:to>
      <xdr:col>2</xdr:col>
      <xdr:colOff>950595</xdr:colOff>
      <xdr:row>231</xdr:row>
      <xdr:rowOff>976360</xdr:rowOff>
    </xdr:to>
    <xdr:pic>
      <xdr:nvPicPr>
        <xdr:cNvPr id="44" name="Imagen 43">
          <a:extLst>
            <a:ext uri="{FF2B5EF4-FFF2-40B4-BE49-F238E27FC236}">
              <a16:creationId xmlns:a16="http://schemas.microsoft.com/office/drawing/2014/main" id="{EFF73175-9448-45D0-8045-90B3964D61B1}"/>
            </a:ext>
          </a:extLst>
        </xdr:cNvPr>
        <xdr:cNvPicPr>
          <a:picLocks noChangeAspect="1"/>
        </xdr:cNvPicPr>
      </xdr:nvPicPr>
      <xdr:blipFill>
        <a:blip xmlns:r="http://schemas.openxmlformats.org/officeDocument/2006/relationships" r:embed="rId15"/>
        <a:stretch>
          <a:fillRect/>
        </a:stretch>
      </xdr:blipFill>
      <xdr:spPr>
        <a:xfrm>
          <a:off x="874693" y="86759143"/>
          <a:ext cx="810688" cy="894717"/>
        </a:xfrm>
        <a:prstGeom prst="rect">
          <a:avLst/>
        </a:prstGeom>
      </xdr:spPr>
    </xdr:pic>
    <xdr:clientData/>
  </xdr:twoCellAnchor>
  <xdr:twoCellAnchor>
    <xdr:from>
      <xdr:col>2</xdr:col>
      <xdr:colOff>184096</xdr:colOff>
      <xdr:row>121</xdr:row>
      <xdr:rowOff>135271</xdr:rowOff>
    </xdr:from>
    <xdr:to>
      <xdr:col>2</xdr:col>
      <xdr:colOff>891667</xdr:colOff>
      <xdr:row>122</xdr:row>
      <xdr:rowOff>421048</xdr:rowOff>
    </xdr:to>
    <xdr:pic>
      <xdr:nvPicPr>
        <xdr:cNvPr id="45" name="Imagen 44">
          <a:extLst>
            <a:ext uri="{FF2B5EF4-FFF2-40B4-BE49-F238E27FC236}">
              <a16:creationId xmlns:a16="http://schemas.microsoft.com/office/drawing/2014/main" id="{04DCBA8E-05ED-4743-92C7-E6838DBBC8F6}"/>
            </a:ext>
          </a:extLst>
        </xdr:cNvPr>
        <xdr:cNvPicPr>
          <a:picLocks noChangeAspect="1"/>
        </xdr:cNvPicPr>
      </xdr:nvPicPr>
      <xdr:blipFill>
        <a:blip xmlns:r="http://schemas.openxmlformats.org/officeDocument/2006/relationships" r:embed="rId16"/>
        <a:stretch>
          <a:fillRect/>
        </a:stretch>
      </xdr:blipFill>
      <xdr:spPr>
        <a:xfrm>
          <a:off x="901272" y="45754418"/>
          <a:ext cx="707571" cy="924512"/>
        </a:xfrm>
        <a:prstGeom prst="rect">
          <a:avLst/>
        </a:prstGeom>
      </xdr:spPr>
    </xdr:pic>
    <xdr:clientData/>
  </xdr:twoCellAnchor>
  <xdr:twoCellAnchor>
    <xdr:from>
      <xdr:col>2</xdr:col>
      <xdr:colOff>156883</xdr:colOff>
      <xdr:row>172</xdr:row>
      <xdr:rowOff>56029</xdr:rowOff>
    </xdr:from>
    <xdr:to>
      <xdr:col>2</xdr:col>
      <xdr:colOff>949485</xdr:colOff>
      <xdr:row>172</xdr:row>
      <xdr:rowOff>1151033</xdr:rowOff>
    </xdr:to>
    <xdr:pic>
      <xdr:nvPicPr>
        <xdr:cNvPr id="49" name="Imagen 48">
          <a:extLst>
            <a:ext uri="{FF2B5EF4-FFF2-40B4-BE49-F238E27FC236}">
              <a16:creationId xmlns:a16="http://schemas.microsoft.com/office/drawing/2014/main" id="{B3DD2D8F-787F-5C8F-527F-EC381CFED1BA}"/>
            </a:ext>
          </a:extLst>
        </xdr:cNvPr>
        <xdr:cNvPicPr>
          <a:picLocks noChangeAspect="1"/>
        </xdr:cNvPicPr>
      </xdr:nvPicPr>
      <xdr:blipFill>
        <a:blip xmlns:r="http://schemas.openxmlformats.org/officeDocument/2006/relationships" r:embed="rId17"/>
        <a:stretch>
          <a:fillRect/>
        </a:stretch>
      </xdr:blipFill>
      <xdr:spPr>
        <a:xfrm>
          <a:off x="874059" y="106467088"/>
          <a:ext cx="792602" cy="1095004"/>
        </a:xfrm>
        <a:prstGeom prst="rect">
          <a:avLst/>
        </a:prstGeom>
      </xdr:spPr>
    </xdr:pic>
    <xdr:clientData/>
  </xdr:twoCellAnchor>
  <xdr:twoCellAnchor>
    <xdr:from>
      <xdr:col>2</xdr:col>
      <xdr:colOff>54429</xdr:colOff>
      <xdr:row>58</xdr:row>
      <xdr:rowOff>40821</xdr:rowOff>
    </xdr:from>
    <xdr:to>
      <xdr:col>2</xdr:col>
      <xdr:colOff>1020535</xdr:colOff>
      <xdr:row>58</xdr:row>
      <xdr:rowOff>612321</xdr:rowOff>
    </xdr:to>
    <xdr:pic>
      <xdr:nvPicPr>
        <xdr:cNvPr id="51" name="Imagen 50">
          <a:extLst>
            <a:ext uri="{FF2B5EF4-FFF2-40B4-BE49-F238E27FC236}">
              <a16:creationId xmlns:a16="http://schemas.microsoft.com/office/drawing/2014/main" id="{F5693E78-2B62-63B5-700B-EA3F3CC43820}"/>
            </a:ext>
          </a:extLst>
        </xdr:cNvPr>
        <xdr:cNvPicPr>
          <a:picLocks noChangeAspect="1"/>
        </xdr:cNvPicPr>
      </xdr:nvPicPr>
      <xdr:blipFill>
        <a:blip xmlns:r="http://schemas.openxmlformats.org/officeDocument/2006/relationships" r:embed="rId18"/>
        <a:stretch>
          <a:fillRect/>
        </a:stretch>
      </xdr:blipFill>
      <xdr:spPr>
        <a:xfrm>
          <a:off x="789215" y="20329071"/>
          <a:ext cx="966106" cy="571500"/>
        </a:xfrm>
        <a:prstGeom prst="rect">
          <a:avLst/>
        </a:prstGeom>
      </xdr:spPr>
    </xdr:pic>
    <xdr:clientData/>
  </xdr:twoCellAnchor>
  <xdr:twoCellAnchor>
    <xdr:from>
      <xdr:col>2</xdr:col>
      <xdr:colOff>244926</xdr:colOff>
      <xdr:row>69</xdr:row>
      <xdr:rowOff>244929</xdr:rowOff>
    </xdr:from>
    <xdr:to>
      <xdr:col>2</xdr:col>
      <xdr:colOff>845001</xdr:colOff>
      <xdr:row>69</xdr:row>
      <xdr:rowOff>816428</xdr:rowOff>
    </xdr:to>
    <xdr:pic>
      <xdr:nvPicPr>
        <xdr:cNvPr id="54" name="Imagen 53">
          <a:extLst>
            <a:ext uri="{FF2B5EF4-FFF2-40B4-BE49-F238E27FC236}">
              <a16:creationId xmlns:a16="http://schemas.microsoft.com/office/drawing/2014/main" id="{5888C50A-A31C-7947-56B5-23529D3E86B6}"/>
            </a:ext>
          </a:extLst>
        </xdr:cNvPr>
        <xdr:cNvPicPr>
          <a:picLocks noChangeAspect="1"/>
        </xdr:cNvPicPr>
      </xdr:nvPicPr>
      <xdr:blipFill>
        <a:blip xmlns:r="http://schemas.openxmlformats.org/officeDocument/2006/relationships" r:embed="rId19"/>
        <a:stretch>
          <a:fillRect/>
        </a:stretch>
      </xdr:blipFill>
      <xdr:spPr>
        <a:xfrm>
          <a:off x="979712" y="23540358"/>
          <a:ext cx="600075" cy="571499"/>
        </a:xfrm>
        <a:prstGeom prst="rect">
          <a:avLst/>
        </a:prstGeom>
      </xdr:spPr>
    </xdr:pic>
    <xdr:clientData/>
  </xdr:twoCellAnchor>
  <xdr:twoCellAnchor>
    <xdr:from>
      <xdr:col>2</xdr:col>
      <xdr:colOff>149679</xdr:colOff>
      <xdr:row>61</xdr:row>
      <xdr:rowOff>68036</xdr:rowOff>
    </xdr:from>
    <xdr:to>
      <xdr:col>2</xdr:col>
      <xdr:colOff>979714</xdr:colOff>
      <xdr:row>61</xdr:row>
      <xdr:rowOff>830312</xdr:rowOff>
    </xdr:to>
    <xdr:pic>
      <xdr:nvPicPr>
        <xdr:cNvPr id="58" name="Imagen 57">
          <a:extLst>
            <a:ext uri="{FF2B5EF4-FFF2-40B4-BE49-F238E27FC236}">
              <a16:creationId xmlns:a16="http://schemas.microsoft.com/office/drawing/2014/main" id="{213FC173-66A6-828A-1D57-7F2E1ECCADC2}"/>
            </a:ext>
          </a:extLst>
        </xdr:cNvPr>
        <xdr:cNvPicPr>
          <a:picLocks noChangeAspect="1"/>
        </xdr:cNvPicPr>
      </xdr:nvPicPr>
      <xdr:blipFill>
        <a:blip xmlns:r="http://schemas.openxmlformats.org/officeDocument/2006/relationships" r:embed="rId20"/>
        <a:stretch>
          <a:fillRect/>
        </a:stretch>
      </xdr:blipFill>
      <xdr:spPr>
        <a:xfrm>
          <a:off x="884465" y="22084393"/>
          <a:ext cx="830035" cy="762276"/>
        </a:xfrm>
        <a:prstGeom prst="rect">
          <a:avLst/>
        </a:prstGeom>
      </xdr:spPr>
    </xdr:pic>
    <xdr:clientData/>
  </xdr:twoCellAnchor>
  <xdr:twoCellAnchor>
    <xdr:from>
      <xdr:col>2</xdr:col>
      <xdr:colOff>204107</xdr:colOff>
      <xdr:row>62</xdr:row>
      <xdr:rowOff>248859</xdr:rowOff>
    </xdr:from>
    <xdr:to>
      <xdr:col>2</xdr:col>
      <xdr:colOff>993321</xdr:colOff>
      <xdr:row>62</xdr:row>
      <xdr:rowOff>1020536</xdr:rowOff>
    </xdr:to>
    <xdr:pic>
      <xdr:nvPicPr>
        <xdr:cNvPr id="59" name="Imagen 58">
          <a:extLst>
            <a:ext uri="{FF2B5EF4-FFF2-40B4-BE49-F238E27FC236}">
              <a16:creationId xmlns:a16="http://schemas.microsoft.com/office/drawing/2014/main" id="{1D842608-1ED1-0E4F-E8FD-77174A480260}"/>
            </a:ext>
          </a:extLst>
        </xdr:cNvPr>
        <xdr:cNvPicPr>
          <a:picLocks noChangeAspect="1"/>
        </xdr:cNvPicPr>
      </xdr:nvPicPr>
      <xdr:blipFill>
        <a:blip xmlns:r="http://schemas.openxmlformats.org/officeDocument/2006/relationships" r:embed="rId21"/>
        <a:stretch>
          <a:fillRect/>
        </a:stretch>
      </xdr:blipFill>
      <xdr:spPr>
        <a:xfrm>
          <a:off x="938893" y="23244930"/>
          <a:ext cx="789214" cy="771677"/>
        </a:xfrm>
        <a:prstGeom prst="rect">
          <a:avLst/>
        </a:prstGeom>
      </xdr:spPr>
    </xdr:pic>
    <xdr:clientData/>
  </xdr:twoCellAnchor>
  <xdr:twoCellAnchor>
    <xdr:from>
      <xdr:col>2</xdr:col>
      <xdr:colOff>81643</xdr:colOff>
      <xdr:row>63</xdr:row>
      <xdr:rowOff>340177</xdr:rowOff>
    </xdr:from>
    <xdr:to>
      <xdr:col>3</xdr:col>
      <xdr:colOff>27214</xdr:colOff>
      <xdr:row>63</xdr:row>
      <xdr:rowOff>1006928</xdr:rowOff>
    </xdr:to>
    <xdr:pic>
      <xdr:nvPicPr>
        <xdr:cNvPr id="60" name="Imagen 59">
          <a:extLst>
            <a:ext uri="{FF2B5EF4-FFF2-40B4-BE49-F238E27FC236}">
              <a16:creationId xmlns:a16="http://schemas.microsoft.com/office/drawing/2014/main" id="{B892961F-1E50-6F43-61D1-359C81A51F66}"/>
            </a:ext>
          </a:extLst>
        </xdr:cNvPr>
        <xdr:cNvPicPr>
          <a:picLocks noChangeAspect="1"/>
        </xdr:cNvPicPr>
      </xdr:nvPicPr>
      <xdr:blipFill>
        <a:blip xmlns:r="http://schemas.openxmlformats.org/officeDocument/2006/relationships" r:embed="rId22"/>
        <a:stretch>
          <a:fillRect/>
        </a:stretch>
      </xdr:blipFill>
      <xdr:spPr>
        <a:xfrm>
          <a:off x="816429" y="24438427"/>
          <a:ext cx="979714" cy="666751"/>
        </a:xfrm>
        <a:prstGeom prst="rect">
          <a:avLst/>
        </a:prstGeom>
      </xdr:spPr>
    </xdr:pic>
    <xdr:clientData/>
  </xdr:twoCellAnchor>
  <xdr:twoCellAnchor>
    <xdr:from>
      <xdr:col>2</xdr:col>
      <xdr:colOff>77639</xdr:colOff>
      <xdr:row>64</xdr:row>
      <xdr:rowOff>244928</xdr:rowOff>
    </xdr:from>
    <xdr:to>
      <xdr:col>3</xdr:col>
      <xdr:colOff>13005</xdr:colOff>
      <xdr:row>64</xdr:row>
      <xdr:rowOff>1020535</xdr:rowOff>
    </xdr:to>
    <xdr:pic>
      <xdr:nvPicPr>
        <xdr:cNvPr id="61" name="Imagen 60">
          <a:extLst>
            <a:ext uri="{FF2B5EF4-FFF2-40B4-BE49-F238E27FC236}">
              <a16:creationId xmlns:a16="http://schemas.microsoft.com/office/drawing/2014/main" id="{BB54B218-B5A8-F4D4-A1AB-DF91773E4C9B}"/>
            </a:ext>
          </a:extLst>
        </xdr:cNvPr>
        <xdr:cNvPicPr>
          <a:picLocks noChangeAspect="1"/>
        </xdr:cNvPicPr>
      </xdr:nvPicPr>
      <xdr:blipFill>
        <a:blip xmlns:r="http://schemas.openxmlformats.org/officeDocument/2006/relationships" r:embed="rId23"/>
        <a:stretch>
          <a:fillRect/>
        </a:stretch>
      </xdr:blipFill>
      <xdr:spPr>
        <a:xfrm>
          <a:off x="794815" y="31800693"/>
          <a:ext cx="1078366" cy="775607"/>
        </a:xfrm>
        <a:prstGeom prst="rect">
          <a:avLst/>
        </a:prstGeom>
      </xdr:spPr>
    </xdr:pic>
    <xdr:clientData/>
  </xdr:twoCellAnchor>
  <xdr:twoCellAnchor>
    <xdr:from>
      <xdr:col>2</xdr:col>
      <xdr:colOff>108857</xdr:colOff>
      <xdr:row>65</xdr:row>
      <xdr:rowOff>40821</xdr:rowOff>
    </xdr:from>
    <xdr:to>
      <xdr:col>3</xdr:col>
      <xdr:colOff>27214</xdr:colOff>
      <xdr:row>65</xdr:row>
      <xdr:rowOff>810928</xdr:rowOff>
    </xdr:to>
    <xdr:pic>
      <xdr:nvPicPr>
        <xdr:cNvPr id="62" name="Imagen 61">
          <a:extLst>
            <a:ext uri="{FF2B5EF4-FFF2-40B4-BE49-F238E27FC236}">
              <a16:creationId xmlns:a16="http://schemas.microsoft.com/office/drawing/2014/main" id="{887C250A-80CB-3530-E605-B1107D2712F3}"/>
            </a:ext>
          </a:extLst>
        </xdr:cNvPr>
        <xdr:cNvPicPr>
          <a:picLocks noChangeAspect="1"/>
        </xdr:cNvPicPr>
      </xdr:nvPicPr>
      <xdr:blipFill>
        <a:blip xmlns:r="http://schemas.openxmlformats.org/officeDocument/2006/relationships" r:embed="rId24"/>
        <a:stretch>
          <a:fillRect/>
        </a:stretch>
      </xdr:blipFill>
      <xdr:spPr>
        <a:xfrm>
          <a:off x="843643" y="26397857"/>
          <a:ext cx="952500" cy="770107"/>
        </a:xfrm>
        <a:prstGeom prst="rect">
          <a:avLst/>
        </a:prstGeom>
      </xdr:spPr>
    </xdr:pic>
    <xdr:clientData/>
  </xdr:twoCellAnchor>
  <xdr:twoCellAnchor>
    <xdr:from>
      <xdr:col>2</xdr:col>
      <xdr:colOff>149679</xdr:colOff>
      <xdr:row>83</xdr:row>
      <xdr:rowOff>68036</xdr:rowOff>
    </xdr:from>
    <xdr:to>
      <xdr:col>2</xdr:col>
      <xdr:colOff>908751</xdr:colOff>
      <xdr:row>83</xdr:row>
      <xdr:rowOff>1047750</xdr:rowOff>
    </xdr:to>
    <xdr:pic>
      <xdr:nvPicPr>
        <xdr:cNvPr id="65" name="Imagen 64">
          <a:extLst>
            <a:ext uri="{FF2B5EF4-FFF2-40B4-BE49-F238E27FC236}">
              <a16:creationId xmlns:a16="http://schemas.microsoft.com/office/drawing/2014/main" id="{A9D61663-6AE0-446E-BE17-D22A710D3384}"/>
            </a:ext>
          </a:extLst>
        </xdr:cNvPr>
        <xdr:cNvPicPr>
          <a:picLocks noChangeAspect="1"/>
        </xdr:cNvPicPr>
      </xdr:nvPicPr>
      <xdr:blipFill>
        <a:blip xmlns:r="http://schemas.openxmlformats.org/officeDocument/2006/relationships" r:embed="rId7"/>
        <a:stretch>
          <a:fillRect/>
        </a:stretch>
      </xdr:blipFill>
      <xdr:spPr>
        <a:xfrm>
          <a:off x="884465" y="33718500"/>
          <a:ext cx="759072" cy="979714"/>
        </a:xfrm>
        <a:prstGeom prst="rect">
          <a:avLst/>
        </a:prstGeom>
      </xdr:spPr>
    </xdr:pic>
    <xdr:clientData/>
  </xdr:twoCellAnchor>
  <xdr:twoCellAnchor>
    <xdr:from>
      <xdr:col>2</xdr:col>
      <xdr:colOff>136072</xdr:colOff>
      <xdr:row>82</xdr:row>
      <xdr:rowOff>95250</xdr:rowOff>
    </xdr:from>
    <xdr:to>
      <xdr:col>2</xdr:col>
      <xdr:colOff>895144</xdr:colOff>
      <xdr:row>82</xdr:row>
      <xdr:rowOff>1074964</xdr:rowOff>
    </xdr:to>
    <xdr:pic>
      <xdr:nvPicPr>
        <xdr:cNvPr id="66" name="Imagen 65">
          <a:extLst>
            <a:ext uri="{FF2B5EF4-FFF2-40B4-BE49-F238E27FC236}">
              <a16:creationId xmlns:a16="http://schemas.microsoft.com/office/drawing/2014/main" id="{4945897F-2B2B-42CA-BC40-A0C0C46360BB}"/>
            </a:ext>
          </a:extLst>
        </xdr:cNvPr>
        <xdr:cNvPicPr>
          <a:picLocks noChangeAspect="1"/>
        </xdr:cNvPicPr>
      </xdr:nvPicPr>
      <xdr:blipFill>
        <a:blip xmlns:r="http://schemas.openxmlformats.org/officeDocument/2006/relationships" r:embed="rId7"/>
        <a:stretch>
          <a:fillRect/>
        </a:stretch>
      </xdr:blipFill>
      <xdr:spPr>
        <a:xfrm>
          <a:off x="870858" y="32602714"/>
          <a:ext cx="759072" cy="979714"/>
        </a:xfrm>
        <a:prstGeom prst="rect">
          <a:avLst/>
        </a:prstGeom>
      </xdr:spPr>
    </xdr:pic>
    <xdr:clientData/>
  </xdr:twoCellAnchor>
  <xdr:twoCellAnchor>
    <xdr:from>
      <xdr:col>2</xdr:col>
      <xdr:colOff>163286</xdr:colOff>
      <xdr:row>84</xdr:row>
      <xdr:rowOff>81642</xdr:rowOff>
    </xdr:from>
    <xdr:to>
      <xdr:col>2</xdr:col>
      <xdr:colOff>922358</xdr:colOff>
      <xdr:row>84</xdr:row>
      <xdr:rowOff>1061356</xdr:rowOff>
    </xdr:to>
    <xdr:pic>
      <xdr:nvPicPr>
        <xdr:cNvPr id="68" name="Imagen 67">
          <a:extLst>
            <a:ext uri="{FF2B5EF4-FFF2-40B4-BE49-F238E27FC236}">
              <a16:creationId xmlns:a16="http://schemas.microsoft.com/office/drawing/2014/main" id="{A429098D-D676-431C-A6E5-1FC6130AF31B}"/>
            </a:ext>
          </a:extLst>
        </xdr:cNvPr>
        <xdr:cNvPicPr>
          <a:picLocks noChangeAspect="1"/>
        </xdr:cNvPicPr>
      </xdr:nvPicPr>
      <xdr:blipFill>
        <a:blip xmlns:r="http://schemas.openxmlformats.org/officeDocument/2006/relationships" r:embed="rId7"/>
        <a:stretch>
          <a:fillRect/>
        </a:stretch>
      </xdr:blipFill>
      <xdr:spPr>
        <a:xfrm>
          <a:off x="885181" y="38953668"/>
          <a:ext cx="759072" cy="979714"/>
        </a:xfrm>
        <a:prstGeom prst="rect">
          <a:avLst/>
        </a:prstGeom>
      </xdr:spPr>
    </xdr:pic>
    <xdr:clientData/>
  </xdr:twoCellAnchor>
  <xdr:twoCellAnchor>
    <xdr:from>
      <xdr:col>2</xdr:col>
      <xdr:colOff>54429</xdr:colOff>
      <xdr:row>194</xdr:row>
      <xdr:rowOff>108856</xdr:rowOff>
    </xdr:from>
    <xdr:to>
      <xdr:col>2</xdr:col>
      <xdr:colOff>1019737</xdr:colOff>
      <xdr:row>194</xdr:row>
      <xdr:rowOff>857249</xdr:rowOff>
    </xdr:to>
    <xdr:pic>
      <xdr:nvPicPr>
        <xdr:cNvPr id="63" name="Imagen 62">
          <a:extLst>
            <a:ext uri="{FF2B5EF4-FFF2-40B4-BE49-F238E27FC236}">
              <a16:creationId xmlns:a16="http://schemas.microsoft.com/office/drawing/2014/main" id="{C039F21F-8FF9-66E6-EFE9-DC84B78141DF}"/>
            </a:ext>
          </a:extLst>
        </xdr:cNvPr>
        <xdr:cNvPicPr>
          <a:picLocks noChangeAspect="1"/>
        </xdr:cNvPicPr>
      </xdr:nvPicPr>
      <xdr:blipFill>
        <a:blip xmlns:r="http://schemas.openxmlformats.org/officeDocument/2006/relationships" r:embed="rId25"/>
        <a:stretch>
          <a:fillRect/>
        </a:stretch>
      </xdr:blipFill>
      <xdr:spPr>
        <a:xfrm>
          <a:off x="771605" y="119496327"/>
          <a:ext cx="965308" cy="748393"/>
        </a:xfrm>
        <a:prstGeom prst="rect">
          <a:avLst/>
        </a:prstGeom>
      </xdr:spPr>
    </xdr:pic>
    <xdr:clientData/>
  </xdr:twoCellAnchor>
  <xdr:twoCellAnchor>
    <xdr:from>
      <xdr:col>2</xdr:col>
      <xdr:colOff>40821</xdr:colOff>
      <xdr:row>201</xdr:row>
      <xdr:rowOff>272143</xdr:rowOff>
    </xdr:from>
    <xdr:to>
      <xdr:col>2</xdr:col>
      <xdr:colOff>1066799</xdr:colOff>
      <xdr:row>201</xdr:row>
      <xdr:rowOff>1488141</xdr:rowOff>
    </xdr:to>
    <xdr:pic>
      <xdr:nvPicPr>
        <xdr:cNvPr id="11264" name="Imagen 11263">
          <a:extLst>
            <a:ext uri="{FF2B5EF4-FFF2-40B4-BE49-F238E27FC236}">
              <a16:creationId xmlns:a16="http://schemas.microsoft.com/office/drawing/2014/main" id="{0F8026B5-4310-CC8A-6561-1AC371E0405A}"/>
            </a:ext>
          </a:extLst>
        </xdr:cNvPr>
        <xdr:cNvPicPr>
          <a:picLocks noChangeAspect="1"/>
        </xdr:cNvPicPr>
      </xdr:nvPicPr>
      <xdr:blipFill>
        <a:blip xmlns:r="http://schemas.openxmlformats.org/officeDocument/2006/relationships" r:embed="rId26"/>
        <a:stretch>
          <a:fillRect/>
        </a:stretch>
      </xdr:blipFill>
      <xdr:spPr>
        <a:xfrm>
          <a:off x="793856" y="81348943"/>
          <a:ext cx="1025978" cy="1215998"/>
        </a:xfrm>
        <a:prstGeom prst="rect">
          <a:avLst/>
        </a:prstGeom>
      </xdr:spPr>
    </xdr:pic>
    <xdr:clientData/>
  </xdr:twoCellAnchor>
  <xdr:twoCellAnchor>
    <xdr:from>
      <xdr:col>2</xdr:col>
      <xdr:colOff>108856</xdr:colOff>
      <xdr:row>232</xdr:row>
      <xdr:rowOff>40821</xdr:rowOff>
    </xdr:from>
    <xdr:to>
      <xdr:col>2</xdr:col>
      <xdr:colOff>941296</xdr:colOff>
      <xdr:row>232</xdr:row>
      <xdr:rowOff>982180</xdr:rowOff>
    </xdr:to>
    <xdr:pic>
      <xdr:nvPicPr>
        <xdr:cNvPr id="11265" name="Imagen 11264">
          <a:extLst>
            <a:ext uri="{FF2B5EF4-FFF2-40B4-BE49-F238E27FC236}">
              <a16:creationId xmlns:a16="http://schemas.microsoft.com/office/drawing/2014/main" id="{730104E6-FB1C-2D3A-5035-5843E71A231D}"/>
            </a:ext>
          </a:extLst>
        </xdr:cNvPr>
        <xdr:cNvPicPr>
          <a:picLocks noChangeAspect="1"/>
        </xdr:cNvPicPr>
      </xdr:nvPicPr>
      <xdr:blipFill>
        <a:blip xmlns:r="http://schemas.openxmlformats.org/officeDocument/2006/relationships" r:embed="rId27"/>
        <a:stretch>
          <a:fillRect/>
        </a:stretch>
      </xdr:blipFill>
      <xdr:spPr>
        <a:xfrm>
          <a:off x="826032" y="142523615"/>
          <a:ext cx="832440" cy="941359"/>
        </a:xfrm>
        <a:prstGeom prst="rect">
          <a:avLst/>
        </a:prstGeom>
      </xdr:spPr>
    </xdr:pic>
    <xdr:clientData/>
  </xdr:twoCellAnchor>
  <xdr:twoCellAnchor>
    <xdr:from>
      <xdr:col>2</xdr:col>
      <xdr:colOff>101654</xdr:colOff>
      <xdr:row>8</xdr:row>
      <xdr:rowOff>84364</xdr:rowOff>
    </xdr:from>
    <xdr:to>
      <xdr:col>2</xdr:col>
      <xdr:colOff>963707</xdr:colOff>
      <xdr:row>8</xdr:row>
      <xdr:rowOff>1077684</xdr:rowOff>
    </xdr:to>
    <xdr:pic>
      <xdr:nvPicPr>
        <xdr:cNvPr id="67" name="Imagen 2">
          <a:extLst>
            <a:ext uri="{FF2B5EF4-FFF2-40B4-BE49-F238E27FC236}">
              <a16:creationId xmlns:a16="http://schemas.microsoft.com/office/drawing/2014/main" id="{2B7C4308-0413-49AF-9F3E-D532E2DF7BBD}"/>
            </a:ext>
          </a:extLst>
        </xdr:cNvPr>
        <xdr:cNvPicPr>
          <a:picLocks noChangeAspect="1" noChangeArrowheads="1"/>
        </xdr:cNvPicPr>
      </xdr:nvPicPr>
      <xdr:blipFill rotWithShape="1">
        <a:blip xmlns:r="http://schemas.openxmlformats.org/officeDocument/2006/relationships" r:embed="rId28" cstate="print">
          <a:extLst>
            <a:ext uri="{28A0092B-C50C-407E-A947-70E740481C1C}">
              <a14:useLocalDpi xmlns:a14="http://schemas.microsoft.com/office/drawing/2010/main" val="0"/>
            </a:ext>
          </a:extLst>
        </a:blip>
        <a:srcRect r="10701"/>
        <a:stretch/>
      </xdr:blipFill>
      <xdr:spPr bwMode="auto">
        <a:xfrm>
          <a:off x="825554" y="3560989"/>
          <a:ext cx="862053" cy="993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136072</xdr:colOff>
      <xdr:row>11</xdr:row>
      <xdr:rowOff>27214</xdr:rowOff>
    </xdr:from>
    <xdr:to>
      <xdr:col>2</xdr:col>
      <xdr:colOff>957942</xdr:colOff>
      <xdr:row>11</xdr:row>
      <xdr:rowOff>1020534</xdr:rowOff>
    </xdr:to>
    <xdr:pic>
      <xdr:nvPicPr>
        <xdr:cNvPr id="70" name="Imagen 2">
          <a:extLst>
            <a:ext uri="{FF2B5EF4-FFF2-40B4-BE49-F238E27FC236}">
              <a16:creationId xmlns:a16="http://schemas.microsoft.com/office/drawing/2014/main" id="{7DC8F6B4-59C9-4C8E-ACC6-718A4E0DA73D}"/>
            </a:ext>
          </a:extLst>
        </xdr:cNvPr>
        <xdr:cNvPicPr>
          <a:picLocks noChangeAspect="1" noChangeArrowheads="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r="17649"/>
        <a:stretch/>
      </xdr:blipFill>
      <xdr:spPr bwMode="auto">
        <a:xfrm>
          <a:off x="876301" y="7407728"/>
          <a:ext cx="821870" cy="993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95250</xdr:colOff>
      <xdr:row>40</xdr:row>
      <xdr:rowOff>13607</xdr:rowOff>
    </xdr:from>
    <xdr:to>
      <xdr:col>2</xdr:col>
      <xdr:colOff>955508</xdr:colOff>
      <xdr:row>40</xdr:row>
      <xdr:rowOff>881742</xdr:rowOff>
    </xdr:to>
    <xdr:pic>
      <xdr:nvPicPr>
        <xdr:cNvPr id="73" name="Imagen 72">
          <a:extLst>
            <a:ext uri="{FF2B5EF4-FFF2-40B4-BE49-F238E27FC236}">
              <a16:creationId xmlns:a16="http://schemas.microsoft.com/office/drawing/2014/main" id="{698F8E47-359E-463E-BA59-408A691018BC}"/>
            </a:ext>
          </a:extLst>
        </xdr:cNvPr>
        <xdr:cNvPicPr>
          <a:picLocks noChangeAspect="1"/>
        </xdr:cNvPicPr>
      </xdr:nvPicPr>
      <xdr:blipFill>
        <a:blip xmlns:r="http://schemas.openxmlformats.org/officeDocument/2006/relationships" r:embed="rId30"/>
        <a:stretch>
          <a:fillRect/>
        </a:stretch>
      </xdr:blipFill>
      <xdr:spPr>
        <a:xfrm>
          <a:off x="835479" y="16222436"/>
          <a:ext cx="860258" cy="868135"/>
        </a:xfrm>
        <a:prstGeom prst="rect">
          <a:avLst/>
        </a:prstGeom>
      </xdr:spPr>
    </xdr:pic>
    <xdr:clientData/>
  </xdr:twoCellAnchor>
  <xdr:twoCellAnchor>
    <xdr:from>
      <xdr:col>2</xdr:col>
      <xdr:colOff>95250</xdr:colOff>
      <xdr:row>89</xdr:row>
      <xdr:rowOff>54429</xdr:rowOff>
    </xdr:from>
    <xdr:to>
      <xdr:col>2</xdr:col>
      <xdr:colOff>898849</xdr:colOff>
      <xdr:row>89</xdr:row>
      <xdr:rowOff>993322</xdr:rowOff>
    </xdr:to>
    <xdr:pic>
      <xdr:nvPicPr>
        <xdr:cNvPr id="76" name="Picture 51">
          <a:extLst>
            <a:ext uri="{FF2B5EF4-FFF2-40B4-BE49-F238E27FC236}">
              <a16:creationId xmlns:a16="http://schemas.microsoft.com/office/drawing/2014/main" id="{08BFEFC3-DBAF-4BCC-9597-8B681E815FBD}"/>
            </a:ext>
          </a:extLst>
        </xdr:cNvPr>
        <xdr:cNvPicPr>
          <a:picLocks noChangeAspect="1"/>
        </xdr:cNvPicPr>
      </xdr:nvPicPr>
      <xdr:blipFill>
        <a:blip xmlns:r="http://schemas.openxmlformats.org/officeDocument/2006/relationships" r:embed="rId31"/>
        <a:stretch>
          <a:fillRect/>
        </a:stretch>
      </xdr:blipFill>
      <xdr:spPr>
        <a:xfrm>
          <a:off x="812426" y="42401458"/>
          <a:ext cx="803599" cy="938893"/>
        </a:xfrm>
        <a:prstGeom prst="rect">
          <a:avLst/>
        </a:prstGeom>
      </xdr:spPr>
    </xdr:pic>
    <xdr:clientData/>
  </xdr:twoCellAnchor>
  <xdr:twoCellAnchor>
    <xdr:from>
      <xdr:col>2</xdr:col>
      <xdr:colOff>195942</xdr:colOff>
      <xdr:row>124</xdr:row>
      <xdr:rowOff>40821</xdr:rowOff>
    </xdr:from>
    <xdr:to>
      <xdr:col>2</xdr:col>
      <xdr:colOff>979714</xdr:colOff>
      <xdr:row>124</xdr:row>
      <xdr:rowOff>925286</xdr:rowOff>
    </xdr:to>
    <xdr:pic>
      <xdr:nvPicPr>
        <xdr:cNvPr id="78" name="Imagen 77">
          <a:extLst>
            <a:ext uri="{FF2B5EF4-FFF2-40B4-BE49-F238E27FC236}">
              <a16:creationId xmlns:a16="http://schemas.microsoft.com/office/drawing/2014/main" id="{C5339E90-6D06-4BBF-9B98-E55E49A3E39B}"/>
            </a:ext>
          </a:extLst>
        </xdr:cNvPr>
        <xdr:cNvPicPr>
          <a:picLocks noChangeAspect="1"/>
        </xdr:cNvPicPr>
      </xdr:nvPicPr>
      <xdr:blipFill rotWithShape="1">
        <a:blip xmlns:r="http://schemas.openxmlformats.org/officeDocument/2006/relationships" r:embed="rId32"/>
        <a:srcRect l="11512" r="11746"/>
        <a:stretch/>
      </xdr:blipFill>
      <xdr:spPr>
        <a:xfrm>
          <a:off x="936171" y="45390707"/>
          <a:ext cx="783772" cy="884465"/>
        </a:xfrm>
        <a:prstGeom prst="rect">
          <a:avLst/>
        </a:prstGeom>
      </xdr:spPr>
    </xdr:pic>
    <xdr:clientData/>
  </xdr:twoCellAnchor>
  <xdr:twoCellAnchor>
    <xdr:from>
      <xdr:col>2</xdr:col>
      <xdr:colOff>149679</xdr:colOff>
      <xdr:row>132</xdr:row>
      <xdr:rowOff>122465</xdr:rowOff>
    </xdr:from>
    <xdr:to>
      <xdr:col>2</xdr:col>
      <xdr:colOff>857250</xdr:colOff>
      <xdr:row>132</xdr:row>
      <xdr:rowOff>1006929</xdr:rowOff>
    </xdr:to>
    <xdr:pic>
      <xdr:nvPicPr>
        <xdr:cNvPr id="79" name="Imagen 78">
          <a:extLst>
            <a:ext uri="{FF2B5EF4-FFF2-40B4-BE49-F238E27FC236}">
              <a16:creationId xmlns:a16="http://schemas.microsoft.com/office/drawing/2014/main" id="{11838BAC-A261-4EA1-AC70-DAC8AEB7A3B4}"/>
            </a:ext>
          </a:extLst>
        </xdr:cNvPr>
        <xdr:cNvPicPr>
          <a:picLocks noChangeAspect="1"/>
        </xdr:cNvPicPr>
      </xdr:nvPicPr>
      <xdr:blipFill>
        <a:blip xmlns:r="http://schemas.openxmlformats.org/officeDocument/2006/relationships" r:embed="rId33"/>
        <a:stretch>
          <a:fillRect/>
        </a:stretch>
      </xdr:blipFill>
      <xdr:spPr>
        <a:xfrm>
          <a:off x="884465" y="49135394"/>
          <a:ext cx="707571" cy="884464"/>
        </a:xfrm>
        <a:prstGeom prst="rect">
          <a:avLst/>
        </a:prstGeom>
      </xdr:spPr>
    </xdr:pic>
    <xdr:clientData/>
  </xdr:twoCellAnchor>
  <xdr:twoCellAnchor>
    <xdr:from>
      <xdr:col>2</xdr:col>
      <xdr:colOff>231321</xdr:colOff>
      <xdr:row>136</xdr:row>
      <xdr:rowOff>108857</xdr:rowOff>
    </xdr:from>
    <xdr:to>
      <xdr:col>2</xdr:col>
      <xdr:colOff>821797</xdr:colOff>
      <xdr:row>137</xdr:row>
      <xdr:rowOff>31178</xdr:rowOff>
    </xdr:to>
    <xdr:pic>
      <xdr:nvPicPr>
        <xdr:cNvPr id="80" name="Imagen 79">
          <a:extLst>
            <a:ext uri="{FF2B5EF4-FFF2-40B4-BE49-F238E27FC236}">
              <a16:creationId xmlns:a16="http://schemas.microsoft.com/office/drawing/2014/main" id="{EA970B04-8B35-4E58-B2ED-E4A292CFC151}"/>
            </a:ext>
          </a:extLst>
        </xdr:cNvPr>
        <xdr:cNvPicPr>
          <a:picLocks noChangeAspect="1"/>
        </xdr:cNvPicPr>
      </xdr:nvPicPr>
      <xdr:blipFill>
        <a:blip xmlns:r="http://schemas.openxmlformats.org/officeDocument/2006/relationships" r:embed="rId34"/>
        <a:stretch>
          <a:fillRect/>
        </a:stretch>
      </xdr:blipFill>
      <xdr:spPr>
        <a:xfrm>
          <a:off x="966107" y="51652714"/>
          <a:ext cx="590476" cy="956464"/>
        </a:xfrm>
        <a:prstGeom prst="rect">
          <a:avLst/>
        </a:prstGeom>
      </xdr:spPr>
    </xdr:pic>
    <xdr:clientData/>
  </xdr:twoCellAnchor>
  <xdr:twoCellAnchor>
    <xdr:from>
      <xdr:col>2</xdr:col>
      <xdr:colOff>272144</xdr:colOff>
      <xdr:row>137</xdr:row>
      <xdr:rowOff>299356</xdr:rowOff>
    </xdr:from>
    <xdr:to>
      <xdr:col>2</xdr:col>
      <xdr:colOff>862620</xdr:colOff>
      <xdr:row>138</xdr:row>
      <xdr:rowOff>58392</xdr:rowOff>
    </xdr:to>
    <xdr:pic>
      <xdr:nvPicPr>
        <xdr:cNvPr id="81" name="Imagen 80">
          <a:extLst>
            <a:ext uri="{FF2B5EF4-FFF2-40B4-BE49-F238E27FC236}">
              <a16:creationId xmlns:a16="http://schemas.microsoft.com/office/drawing/2014/main" id="{9DBB2115-629D-40BC-B3CB-10FDD2A7C356}"/>
            </a:ext>
          </a:extLst>
        </xdr:cNvPr>
        <xdr:cNvPicPr>
          <a:picLocks noChangeAspect="1"/>
        </xdr:cNvPicPr>
      </xdr:nvPicPr>
      <xdr:blipFill>
        <a:blip xmlns:r="http://schemas.openxmlformats.org/officeDocument/2006/relationships" r:embed="rId34"/>
        <a:stretch>
          <a:fillRect/>
        </a:stretch>
      </xdr:blipFill>
      <xdr:spPr>
        <a:xfrm>
          <a:off x="1006930" y="52877356"/>
          <a:ext cx="590476" cy="915643"/>
        </a:xfrm>
        <a:prstGeom prst="rect">
          <a:avLst/>
        </a:prstGeom>
      </xdr:spPr>
    </xdr:pic>
    <xdr:clientData/>
  </xdr:twoCellAnchor>
  <xdr:twoCellAnchor>
    <xdr:from>
      <xdr:col>2</xdr:col>
      <xdr:colOff>258536</xdr:colOff>
      <xdr:row>138</xdr:row>
      <xdr:rowOff>285750</xdr:rowOff>
    </xdr:from>
    <xdr:to>
      <xdr:col>2</xdr:col>
      <xdr:colOff>849012</xdr:colOff>
      <xdr:row>138</xdr:row>
      <xdr:rowOff>1242215</xdr:rowOff>
    </xdr:to>
    <xdr:pic>
      <xdr:nvPicPr>
        <xdr:cNvPr id="82" name="Imagen 81">
          <a:extLst>
            <a:ext uri="{FF2B5EF4-FFF2-40B4-BE49-F238E27FC236}">
              <a16:creationId xmlns:a16="http://schemas.microsoft.com/office/drawing/2014/main" id="{505C6243-84BA-44A1-BE80-CF2DE90FF76C}"/>
            </a:ext>
          </a:extLst>
        </xdr:cNvPr>
        <xdr:cNvPicPr>
          <a:picLocks noChangeAspect="1"/>
        </xdr:cNvPicPr>
      </xdr:nvPicPr>
      <xdr:blipFill>
        <a:blip xmlns:r="http://schemas.openxmlformats.org/officeDocument/2006/relationships" r:embed="rId34"/>
        <a:stretch>
          <a:fillRect/>
        </a:stretch>
      </xdr:blipFill>
      <xdr:spPr>
        <a:xfrm>
          <a:off x="993322" y="54020357"/>
          <a:ext cx="590476" cy="956465"/>
        </a:xfrm>
        <a:prstGeom prst="rect">
          <a:avLst/>
        </a:prstGeom>
      </xdr:spPr>
    </xdr:pic>
    <xdr:clientData/>
  </xdr:twoCellAnchor>
  <xdr:twoCellAnchor>
    <xdr:from>
      <xdr:col>2</xdr:col>
      <xdr:colOff>223157</xdr:colOff>
      <xdr:row>139</xdr:row>
      <xdr:rowOff>201386</xdr:rowOff>
    </xdr:from>
    <xdr:to>
      <xdr:col>2</xdr:col>
      <xdr:colOff>966014</xdr:colOff>
      <xdr:row>139</xdr:row>
      <xdr:rowOff>1058529</xdr:rowOff>
    </xdr:to>
    <xdr:pic>
      <xdr:nvPicPr>
        <xdr:cNvPr id="83" name="Imagen 82">
          <a:extLst>
            <a:ext uri="{FF2B5EF4-FFF2-40B4-BE49-F238E27FC236}">
              <a16:creationId xmlns:a16="http://schemas.microsoft.com/office/drawing/2014/main" id="{F07169A1-30AF-43C1-BBEC-FAD6882F49B6}"/>
            </a:ext>
          </a:extLst>
        </xdr:cNvPr>
        <xdr:cNvPicPr>
          <a:picLocks noChangeAspect="1"/>
        </xdr:cNvPicPr>
      </xdr:nvPicPr>
      <xdr:blipFill>
        <a:blip xmlns:r="http://schemas.openxmlformats.org/officeDocument/2006/relationships" r:embed="rId35"/>
        <a:stretch>
          <a:fillRect/>
        </a:stretch>
      </xdr:blipFill>
      <xdr:spPr>
        <a:xfrm>
          <a:off x="963386" y="56959500"/>
          <a:ext cx="742857" cy="857143"/>
        </a:xfrm>
        <a:prstGeom prst="rect">
          <a:avLst/>
        </a:prstGeom>
      </xdr:spPr>
    </xdr:pic>
    <xdr:clientData/>
  </xdr:twoCellAnchor>
  <xdr:twoCellAnchor>
    <xdr:from>
      <xdr:col>2</xdr:col>
      <xdr:colOff>108857</xdr:colOff>
      <xdr:row>129</xdr:row>
      <xdr:rowOff>149679</xdr:rowOff>
    </xdr:from>
    <xdr:to>
      <xdr:col>2</xdr:col>
      <xdr:colOff>1016511</xdr:colOff>
      <xdr:row>129</xdr:row>
      <xdr:rowOff>1020536</xdr:rowOff>
    </xdr:to>
    <xdr:pic>
      <xdr:nvPicPr>
        <xdr:cNvPr id="93" name="Imagen 92">
          <a:extLst>
            <a:ext uri="{FF2B5EF4-FFF2-40B4-BE49-F238E27FC236}">
              <a16:creationId xmlns:a16="http://schemas.microsoft.com/office/drawing/2014/main" id="{9FCAEE23-A2B0-4143-8923-8A024A942610}"/>
            </a:ext>
          </a:extLst>
        </xdr:cNvPr>
        <xdr:cNvPicPr>
          <a:picLocks noChangeAspect="1"/>
        </xdr:cNvPicPr>
      </xdr:nvPicPr>
      <xdr:blipFill>
        <a:blip xmlns:r="http://schemas.openxmlformats.org/officeDocument/2006/relationships" r:embed="rId36"/>
        <a:stretch>
          <a:fillRect/>
        </a:stretch>
      </xdr:blipFill>
      <xdr:spPr>
        <a:xfrm>
          <a:off x="843643" y="48468643"/>
          <a:ext cx="907654" cy="870857"/>
        </a:xfrm>
        <a:prstGeom prst="rect">
          <a:avLst/>
        </a:prstGeom>
      </xdr:spPr>
    </xdr:pic>
    <xdr:clientData/>
  </xdr:twoCellAnchor>
  <xdr:twoCellAnchor>
    <xdr:from>
      <xdr:col>2</xdr:col>
      <xdr:colOff>122465</xdr:colOff>
      <xdr:row>130</xdr:row>
      <xdr:rowOff>108857</xdr:rowOff>
    </xdr:from>
    <xdr:to>
      <xdr:col>2</xdr:col>
      <xdr:colOff>1030119</xdr:colOff>
      <xdr:row>130</xdr:row>
      <xdr:rowOff>979714</xdr:rowOff>
    </xdr:to>
    <xdr:pic>
      <xdr:nvPicPr>
        <xdr:cNvPr id="95" name="Imagen 94">
          <a:extLst>
            <a:ext uri="{FF2B5EF4-FFF2-40B4-BE49-F238E27FC236}">
              <a16:creationId xmlns:a16="http://schemas.microsoft.com/office/drawing/2014/main" id="{0FC4E923-FBA8-4C87-A29A-122DEE165213}"/>
            </a:ext>
          </a:extLst>
        </xdr:cNvPr>
        <xdr:cNvPicPr>
          <a:picLocks noChangeAspect="1"/>
        </xdr:cNvPicPr>
      </xdr:nvPicPr>
      <xdr:blipFill>
        <a:blip xmlns:r="http://schemas.openxmlformats.org/officeDocument/2006/relationships" r:embed="rId36"/>
        <a:stretch>
          <a:fillRect/>
        </a:stretch>
      </xdr:blipFill>
      <xdr:spPr>
        <a:xfrm>
          <a:off x="857251" y="49679678"/>
          <a:ext cx="907654" cy="870857"/>
        </a:xfrm>
        <a:prstGeom prst="rect">
          <a:avLst/>
        </a:prstGeom>
      </xdr:spPr>
    </xdr:pic>
    <xdr:clientData/>
  </xdr:twoCellAnchor>
  <xdr:twoCellAnchor>
    <xdr:from>
      <xdr:col>2</xdr:col>
      <xdr:colOff>220435</xdr:colOff>
      <xdr:row>123</xdr:row>
      <xdr:rowOff>0</xdr:rowOff>
    </xdr:from>
    <xdr:to>
      <xdr:col>2</xdr:col>
      <xdr:colOff>941613</xdr:colOff>
      <xdr:row>123</xdr:row>
      <xdr:rowOff>892178</xdr:rowOff>
    </xdr:to>
    <xdr:pic>
      <xdr:nvPicPr>
        <xdr:cNvPr id="84" name="Imagen 83">
          <a:extLst>
            <a:ext uri="{FF2B5EF4-FFF2-40B4-BE49-F238E27FC236}">
              <a16:creationId xmlns:a16="http://schemas.microsoft.com/office/drawing/2014/main" id="{508D0A33-6B1D-4783-AF4F-F2EDEFCBA4A7}"/>
            </a:ext>
          </a:extLst>
        </xdr:cNvPr>
        <xdr:cNvPicPr>
          <a:picLocks noChangeAspect="1"/>
        </xdr:cNvPicPr>
      </xdr:nvPicPr>
      <xdr:blipFill>
        <a:blip xmlns:r="http://schemas.openxmlformats.org/officeDocument/2006/relationships" r:embed="rId37">
          <a:extLst>
            <a:ext uri="{BEBA8EAE-BF5A-486C-A8C5-ECC9F3942E4B}">
              <a14:imgProps xmlns:a14="http://schemas.microsoft.com/office/drawing/2010/main">
                <a14:imgLayer r:embed="rId38">
                  <a14:imgEffect>
                    <a14:colorTemperature colorTemp="6083"/>
                  </a14:imgEffect>
                  <a14:imgEffect>
                    <a14:saturation sat="61000"/>
                  </a14:imgEffect>
                  <a14:imgEffect>
                    <a14:brightnessContrast bright="-6000" contrast="-7000"/>
                  </a14:imgEffect>
                </a14:imgLayer>
              </a14:imgProps>
            </a:ext>
          </a:extLst>
        </a:blip>
        <a:stretch>
          <a:fillRect/>
        </a:stretch>
      </xdr:blipFill>
      <xdr:spPr>
        <a:xfrm>
          <a:off x="960664" y="44348400"/>
          <a:ext cx="721178" cy="892178"/>
        </a:xfrm>
        <a:prstGeom prst="rect">
          <a:avLst/>
        </a:prstGeom>
      </xdr:spPr>
    </xdr:pic>
    <xdr:clientData/>
  </xdr:twoCellAnchor>
  <xdr:twoCellAnchor>
    <xdr:from>
      <xdr:col>2</xdr:col>
      <xdr:colOff>152400</xdr:colOff>
      <xdr:row>45</xdr:row>
      <xdr:rowOff>185058</xdr:rowOff>
    </xdr:from>
    <xdr:to>
      <xdr:col>2</xdr:col>
      <xdr:colOff>955222</xdr:colOff>
      <xdr:row>45</xdr:row>
      <xdr:rowOff>1317171</xdr:rowOff>
    </xdr:to>
    <xdr:pic>
      <xdr:nvPicPr>
        <xdr:cNvPr id="86" name="Imagen 85">
          <a:extLst>
            <a:ext uri="{FF2B5EF4-FFF2-40B4-BE49-F238E27FC236}">
              <a16:creationId xmlns:a16="http://schemas.microsoft.com/office/drawing/2014/main" id="{48E658CB-DC08-4AC7-ADA4-7B988911AF8C}"/>
            </a:ext>
          </a:extLst>
        </xdr:cNvPr>
        <xdr:cNvPicPr>
          <a:picLocks noChangeAspect="1"/>
        </xdr:cNvPicPr>
      </xdr:nvPicPr>
      <xdr:blipFill>
        <a:blip xmlns:r="http://schemas.openxmlformats.org/officeDocument/2006/relationships" r:embed="rId39">
          <a:extLst>
            <a:ext uri="{BEBA8EAE-BF5A-486C-A8C5-ECC9F3942E4B}">
              <a14:imgProps xmlns:a14="http://schemas.microsoft.com/office/drawing/2010/main">
                <a14:imgLayer r:embed="rId40">
                  <a14:imgEffect>
                    <a14:brightnessContrast bright="22000" contrast="-4000"/>
                  </a14:imgEffect>
                </a14:imgLayer>
              </a14:imgProps>
            </a:ext>
          </a:extLst>
        </a:blip>
        <a:stretch>
          <a:fillRect/>
        </a:stretch>
      </xdr:blipFill>
      <xdr:spPr>
        <a:xfrm>
          <a:off x="892629" y="19017344"/>
          <a:ext cx="802822" cy="1132113"/>
        </a:xfrm>
        <a:prstGeom prst="rect">
          <a:avLst/>
        </a:prstGeom>
      </xdr:spPr>
    </xdr:pic>
    <xdr:clientData/>
  </xdr:twoCellAnchor>
  <xdr:twoCellAnchor>
    <xdr:from>
      <xdr:col>2</xdr:col>
      <xdr:colOff>110797</xdr:colOff>
      <xdr:row>190</xdr:row>
      <xdr:rowOff>89647</xdr:rowOff>
    </xdr:from>
    <xdr:to>
      <xdr:col>2</xdr:col>
      <xdr:colOff>947919</xdr:colOff>
      <xdr:row>190</xdr:row>
      <xdr:rowOff>1143000</xdr:rowOff>
    </xdr:to>
    <xdr:pic>
      <xdr:nvPicPr>
        <xdr:cNvPr id="4" name="Imagen 3">
          <a:extLst>
            <a:ext uri="{FF2B5EF4-FFF2-40B4-BE49-F238E27FC236}">
              <a16:creationId xmlns:a16="http://schemas.microsoft.com/office/drawing/2014/main" id="{55CB603D-9C4C-8D83-FE51-4373CCBC233D}"/>
            </a:ext>
          </a:extLst>
        </xdr:cNvPr>
        <xdr:cNvPicPr>
          <a:picLocks noChangeAspect="1"/>
        </xdr:cNvPicPr>
      </xdr:nvPicPr>
      <xdr:blipFill>
        <a:blip xmlns:r="http://schemas.openxmlformats.org/officeDocument/2006/relationships" r:embed="rId41">
          <a:extLst>
            <a:ext uri="{BEBA8EAE-BF5A-486C-A8C5-ECC9F3942E4B}">
              <a14:imgProps xmlns:a14="http://schemas.microsoft.com/office/drawing/2010/main">
                <a14:imgLayer r:embed="rId42">
                  <a14:imgEffect>
                    <a14:sharpenSoften amount="-39000"/>
                  </a14:imgEffect>
                  <a14:imgEffect>
                    <a14:saturation sat="49000"/>
                  </a14:imgEffect>
                  <a14:imgEffect>
                    <a14:brightnessContrast bright="10000"/>
                  </a14:imgEffect>
                </a14:imgLayer>
              </a14:imgProps>
            </a:ext>
          </a:extLst>
        </a:blip>
        <a:stretch>
          <a:fillRect/>
        </a:stretch>
      </xdr:blipFill>
      <xdr:spPr>
        <a:xfrm>
          <a:off x="827973" y="117303176"/>
          <a:ext cx="837122" cy="1053353"/>
        </a:xfrm>
        <a:prstGeom prst="rect">
          <a:avLst/>
        </a:prstGeom>
      </xdr:spPr>
    </xdr:pic>
    <xdr:clientData/>
  </xdr:twoCellAnchor>
  <xdr:twoCellAnchor>
    <xdr:from>
      <xdr:col>2</xdr:col>
      <xdr:colOff>116541</xdr:colOff>
      <xdr:row>216</xdr:row>
      <xdr:rowOff>230527</xdr:rowOff>
    </xdr:from>
    <xdr:to>
      <xdr:col>2</xdr:col>
      <xdr:colOff>923365</xdr:colOff>
      <xdr:row>216</xdr:row>
      <xdr:rowOff>806822</xdr:rowOff>
    </xdr:to>
    <xdr:pic>
      <xdr:nvPicPr>
        <xdr:cNvPr id="88" name="Imagen 87">
          <a:extLst>
            <a:ext uri="{FF2B5EF4-FFF2-40B4-BE49-F238E27FC236}">
              <a16:creationId xmlns:a16="http://schemas.microsoft.com/office/drawing/2014/main" id="{89E98613-834F-4032-9414-9E2C9D4AC964}"/>
            </a:ext>
          </a:extLst>
        </xdr:cNvPr>
        <xdr:cNvPicPr>
          <a:picLocks noChangeAspect="1"/>
        </xdr:cNvPicPr>
      </xdr:nvPicPr>
      <xdr:blipFill rotWithShape="1">
        <a:blip xmlns:r="http://schemas.openxmlformats.org/officeDocument/2006/relationships" r:embed="rId43">
          <a:extLst>
            <a:ext uri="{BEBA8EAE-BF5A-486C-A8C5-ECC9F3942E4B}">
              <a14:imgProps xmlns:a14="http://schemas.microsoft.com/office/drawing/2010/main">
                <a14:imgLayer r:embed="rId44">
                  <a14:imgEffect>
                    <a14:brightnessContrast bright="22000"/>
                  </a14:imgEffect>
                </a14:imgLayer>
              </a14:imgProps>
            </a:ext>
          </a:extLst>
        </a:blip>
        <a:srcRect l="6192" t="15316"/>
        <a:stretch/>
      </xdr:blipFill>
      <xdr:spPr>
        <a:xfrm>
          <a:off x="869576" y="89447280"/>
          <a:ext cx="806824" cy="576295"/>
        </a:xfrm>
        <a:prstGeom prst="rect">
          <a:avLst/>
        </a:prstGeom>
      </xdr:spPr>
    </xdr:pic>
    <xdr:clientData/>
  </xdr:twoCellAnchor>
  <xdr:twoCellAnchor>
    <xdr:from>
      <xdr:col>2</xdr:col>
      <xdr:colOff>215153</xdr:colOff>
      <xdr:row>215</xdr:row>
      <xdr:rowOff>172571</xdr:rowOff>
    </xdr:from>
    <xdr:to>
      <xdr:col>2</xdr:col>
      <xdr:colOff>941295</xdr:colOff>
      <xdr:row>215</xdr:row>
      <xdr:rowOff>961464</xdr:rowOff>
    </xdr:to>
    <xdr:pic>
      <xdr:nvPicPr>
        <xdr:cNvPr id="94" name="Imagen 93">
          <a:extLst>
            <a:ext uri="{FF2B5EF4-FFF2-40B4-BE49-F238E27FC236}">
              <a16:creationId xmlns:a16="http://schemas.microsoft.com/office/drawing/2014/main" id="{95C0F391-20E7-46F1-BF65-2EE1AD08B972}"/>
            </a:ext>
          </a:extLst>
        </xdr:cNvPr>
        <xdr:cNvPicPr>
          <a:picLocks noChangeAspect="1"/>
        </xdr:cNvPicPr>
      </xdr:nvPicPr>
      <xdr:blipFill>
        <a:blip xmlns:r="http://schemas.openxmlformats.org/officeDocument/2006/relationships" r:embed="rId45"/>
        <a:stretch>
          <a:fillRect/>
        </a:stretch>
      </xdr:blipFill>
      <xdr:spPr>
        <a:xfrm>
          <a:off x="932329" y="134273365"/>
          <a:ext cx="726142" cy="788893"/>
        </a:xfrm>
        <a:prstGeom prst="rect">
          <a:avLst/>
        </a:prstGeom>
      </xdr:spPr>
    </xdr:pic>
    <xdr:clientData/>
  </xdr:twoCellAnchor>
  <xdr:twoCellAnchor>
    <xdr:from>
      <xdr:col>2</xdr:col>
      <xdr:colOff>134471</xdr:colOff>
      <xdr:row>127</xdr:row>
      <xdr:rowOff>11206</xdr:rowOff>
    </xdr:from>
    <xdr:to>
      <xdr:col>2</xdr:col>
      <xdr:colOff>981138</xdr:colOff>
      <xdr:row>128</xdr:row>
      <xdr:rowOff>240051</xdr:rowOff>
    </xdr:to>
    <xdr:pic>
      <xdr:nvPicPr>
        <xdr:cNvPr id="100" name="Imagen 99">
          <a:extLst>
            <a:ext uri="{FF2B5EF4-FFF2-40B4-BE49-F238E27FC236}">
              <a16:creationId xmlns:a16="http://schemas.microsoft.com/office/drawing/2014/main" id="{D370AEF7-F0DA-4CF6-B035-C20F27352FAD}"/>
            </a:ext>
          </a:extLst>
        </xdr:cNvPr>
        <xdr:cNvPicPr>
          <a:picLocks noChangeAspect="1"/>
        </xdr:cNvPicPr>
      </xdr:nvPicPr>
      <xdr:blipFill rotWithShape="1">
        <a:blip xmlns:r="http://schemas.openxmlformats.org/officeDocument/2006/relationships" r:embed="rId46"/>
        <a:srcRect l="4348" t="1139"/>
        <a:stretch/>
      </xdr:blipFill>
      <xdr:spPr>
        <a:xfrm>
          <a:off x="851647" y="48599912"/>
          <a:ext cx="846667" cy="833963"/>
        </a:xfrm>
        <a:prstGeom prst="rect">
          <a:avLst/>
        </a:prstGeom>
      </xdr:spPr>
    </xdr:pic>
    <xdr:clientData/>
  </xdr:twoCellAnchor>
  <xdr:twoCellAnchor>
    <xdr:from>
      <xdr:col>2</xdr:col>
      <xdr:colOff>67235</xdr:colOff>
      <xdr:row>135</xdr:row>
      <xdr:rowOff>67235</xdr:rowOff>
    </xdr:from>
    <xdr:to>
      <xdr:col>2</xdr:col>
      <xdr:colOff>998568</xdr:colOff>
      <xdr:row>135</xdr:row>
      <xdr:rowOff>843346</xdr:rowOff>
    </xdr:to>
    <xdr:pic>
      <xdr:nvPicPr>
        <xdr:cNvPr id="101" name="Imagen 100">
          <a:extLst>
            <a:ext uri="{FF2B5EF4-FFF2-40B4-BE49-F238E27FC236}">
              <a16:creationId xmlns:a16="http://schemas.microsoft.com/office/drawing/2014/main" id="{DE18E921-D56C-491A-A9CA-9AB5E2DD1F34}"/>
            </a:ext>
          </a:extLst>
        </xdr:cNvPr>
        <xdr:cNvPicPr>
          <a:picLocks noChangeAspect="1"/>
        </xdr:cNvPicPr>
      </xdr:nvPicPr>
      <xdr:blipFill>
        <a:blip xmlns:r="http://schemas.openxmlformats.org/officeDocument/2006/relationships" r:embed="rId47"/>
        <a:stretch>
          <a:fillRect/>
        </a:stretch>
      </xdr:blipFill>
      <xdr:spPr>
        <a:xfrm>
          <a:off x="784411" y="54113206"/>
          <a:ext cx="931333" cy="776111"/>
        </a:xfrm>
        <a:prstGeom prst="rect">
          <a:avLst/>
        </a:prstGeom>
      </xdr:spPr>
    </xdr:pic>
    <xdr:clientData/>
  </xdr:twoCellAnchor>
  <xdr:twoCellAnchor>
    <xdr:from>
      <xdr:col>2</xdr:col>
      <xdr:colOff>156882</xdr:colOff>
      <xdr:row>211</xdr:row>
      <xdr:rowOff>179294</xdr:rowOff>
    </xdr:from>
    <xdr:to>
      <xdr:col>2</xdr:col>
      <xdr:colOff>899739</xdr:colOff>
      <xdr:row>211</xdr:row>
      <xdr:rowOff>769770</xdr:rowOff>
    </xdr:to>
    <xdr:pic>
      <xdr:nvPicPr>
        <xdr:cNvPr id="2" name="Imagen 1">
          <a:extLst>
            <a:ext uri="{FF2B5EF4-FFF2-40B4-BE49-F238E27FC236}">
              <a16:creationId xmlns:a16="http://schemas.microsoft.com/office/drawing/2014/main" id="{5D54C41B-4B16-8D5E-9F8F-9A5D194F56FC}"/>
            </a:ext>
          </a:extLst>
        </xdr:cNvPr>
        <xdr:cNvPicPr>
          <a:picLocks noChangeAspect="1"/>
        </xdr:cNvPicPr>
      </xdr:nvPicPr>
      <xdr:blipFill>
        <a:blip xmlns:r="http://schemas.openxmlformats.org/officeDocument/2006/relationships" r:embed="rId48"/>
        <a:stretch>
          <a:fillRect/>
        </a:stretch>
      </xdr:blipFill>
      <xdr:spPr>
        <a:xfrm>
          <a:off x="874058" y="119241794"/>
          <a:ext cx="742857" cy="590476"/>
        </a:xfrm>
        <a:prstGeom prst="rect">
          <a:avLst/>
        </a:prstGeom>
      </xdr:spPr>
    </xdr:pic>
    <xdr:clientData/>
  </xdr:twoCellAnchor>
  <xdr:twoCellAnchor>
    <xdr:from>
      <xdr:col>2</xdr:col>
      <xdr:colOff>89647</xdr:colOff>
      <xdr:row>214</xdr:row>
      <xdr:rowOff>168088</xdr:rowOff>
    </xdr:from>
    <xdr:to>
      <xdr:col>2</xdr:col>
      <xdr:colOff>945787</xdr:colOff>
      <xdr:row>214</xdr:row>
      <xdr:rowOff>795617</xdr:rowOff>
    </xdr:to>
    <xdr:pic>
      <xdr:nvPicPr>
        <xdr:cNvPr id="3" name="Imagen 2">
          <a:extLst>
            <a:ext uri="{FF2B5EF4-FFF2-40B4-BE49-F238E27FC236}">
              <a16:creationId xmlns:a16="http://schemas.microsoft.com/office/drawing/2014/main" id="{B50B5A1E-BE5E-4735-9757-DC89921060CD}"/>
            </a:ext>
          </a:extLst>
        </xdr:cNvPr>
        <xdr:cNvPicPr>
          <a:picLocks noChangeAspect="1"/>
        </xdr:cNvPicPr>
      </xdr:nvPicPr>
      <xdr:blipFill>
        <a:blip xmlns:r="http://schemas.openxmlformats.org/officeDocument/2006/relationships" r:embed="rId49"/>
        <a:stretch>
          <a:fillRect/>
        </a:stretch>
      </xdr:blipFill>
      <xdr:spPr>
        <a:xfrm>
          <a:off x="806823" y="90196147"/>
          <a:ext cx="856140" cy="627529"/>
        </a:xfrm>
        <a:prstGeom prst="rect">
          <a:avLst/>
        </a:prstGeom>
      </xdr:spPr>
    </xdr:pic>
    <xdr:clientData/>
  </xdr:twoCellAnchor>
  <xdr:twoCellAnchor>
    <xdr:from>
      <xdr:col>2</xdr:col>
      <xdr:colOff>172595</xdr:colOff>
      <xdr:row>102</xdr:row>
      <xdr:rowOff>244338</xdr:rowOff>
    </xdr:from>
    <xdr:to>
      <xdr:col>2</xdr:col>
      <xdr:colOff>976194</xdr:colOff>
      <xdr:row>102</xdr:row>
      <xdr:rowOff>1259902</xdr:rowOff>
    </xdr:to>
    <xdr:pic>
      <xdr:nvPicPr>
        <xdr:cNvPr id="25" name="Picture 51">
          <a:extLst>
            <a:ext uri="{FF2B5EF4-FFF2-40B4-BE49-F238E27FC236}">
              <a16:creationId xmlns:a16="http://schemas.microsoft.com/office/drawing/2014/main" id="{E34F4155-AA89-404E-8118-13B60A6492E6}"/>
            </a:ext>
          </a:extLst>
        </xdr:cNvPr>
        <xdr:cNvPicPr>
          <a:picLocks noChangeAspect="1"/>
        </xdr:cNvPicPr>
      </xdr:nvPicPr>
      <xdr:blipFill>
        <a:blip xmlns:r="http://schemas.openxmlformats.org/officeDocument/2006/relationships" r:embed="rId31"/>
        <a:stretch>
          <a:fillRect/>
        </a:stretch>
      </xdr:blipFill>
      <xdr:spPr>
        <a:xfrm>
          <a:off x="889771" y="52273250"/>
          <a:ext cx="803599" cy="1015564"/>
        </a:xfrm>
        <a:prstGeom prst="rect">
          <a:avLst/>
        </a:prstGeom>
      </xdr:spPr>
    </xdr:pic>
    <xdr:clientData/>
  </xdr:twoCellAnchor>
  <xdr:twoCellAnchor>
    <xdr:from>
      <xdr:col>2</xdr:col>
      <xdr:colOff>136501</xdr:colOff>
      <xdr:row>104</xdr:row>
      <xdr:rowOff>74953</xdr:rowOff>
    </xdr:from>
    <xdr:to>
      <xdr:col>2</xdr:col>
      <xdr:colOff>940100</xdr:colOff>
      <xdr:row>105</xdr:row>
      <xdr:rowOff>11214</xdr:rowOff>
    </xdr:to>
    <xdr:pic>
      <xdr:nvPicPr>
        <xdr:cNvPr id="30" name="Picture 51">
          <a:extLst>
            <a:ext uri="{FF2B5EF4-FFF2-40B4-BE49-F238E27FC236}">
              <a16:creationId xmlns:a16="http://schemas.microsoft.com/office/drawing/2014/main" id="{7CF52174-C50A-4B5A-8B15-8ECBF833F001}"/>
            </a:ext>
          </a:extLst>
        </xdr:cNvPr>
        <xdr:cNvPicPr>
          <a:picLocks noChangeAspect="1"/>
        </xdr:cNvPicPr>
      </xdr:nvPicPr>
      <xdr:blipFill>
        <a:blip xmlns:r="http://schemas.openxmlformats.org/officeDocument/2006/relationships" r:embed="rId31"/>
        <a:stretch>
          <a:fillRect/>
        </a:stretch>
      </xdr:blipFill>
      <xdr:spPr>
        <a:xfrm>
          <a:off x="853677" y="54602777"/>
          <a:ext cx="803599" cy="1023231"/>
        </a:xfrm>
        <a:prstGeom prst="rect">
          <a:avLst/>
        </a:prstGeom>
      </xdr:spPr>
    </xdr:pic>
    <xdr:clientData/>
  </xdr:twoCellAnchor>
  <xdr:twoCellAnchor>
    <xdr:from>
      <xdr:col>2</xdr:col>
      <xdr:colOff>64286</xdr:colOff>
      <xdr:row>91</xdr:row>
      <xdr:rowOff>65465</xdr:rowOff>
    </xdr:from>
    <xdr:to>
      <xdr:col>2</xdr:col>
      <xdr:colOff>867885</xdr:colOff>
      <xdr:row>91</xdr:row>
      <xdr:rowOff>1004358</xdr:rowOff>
    </xdr:to>
    <xdr:pic>
      <xdr:nvPicPr>
        <xdr:cNvPr id="114" name="Picture 51">
          <a:extLst>
            <a:ext uri="{FF2B5EF4-FFF2-40B4-BE49-F238E27FC236}">
              <a16:creationId xmlns:a16="http://schemas.microsoft.com/office/drawing/2014/main" id="{E9EA7360-471B-48CD-AA96-2A0D837C13F9}"/>
            </a:ext>
          </a:extLst>
        </xdr:cNvPr>
        <xdr:cNvPicPr>
          <a:picLocks noChangeAspect="1"/>
        </xdr:cNvPicPr>
      </xdr:nvPicPr>
      <xdr:blipFill>
        <a:blip xmlns:r="http://schemas.openxmlformats.org/officeDocument/2006/relationships" r:embed="rId31"/>
        <a:stretch>
          <a:fillRect/>
        </a:stretch>
      </xdr:blipFill>
      <xdr:spPr>
        <a:xfrm>
          <a:off x="781462" y="44541612"/>
          <a:ext cx="803599" cy="938893"/>
        </a:xfrm>
        <a:prstGeom prst="rect">
          <a:avLst/>
        </a:prstGeom>
      </xdr:spPr>
    </xdr:pic>
    <xdr:clientData/>
  </xdr:twoCellAnchor>
  <xdr:twoCellAnchor>
    <xdr:from>
      <xdr:col>2</xdr:col>
      <xdr:colOff>40105</xdr:colOff>
      <xdr:row>195</xdr:row>
      <xdr:rowOff>70183</xdr:rowOff>
    </xdr:from>
    <xdr:to>
      <xdr:col>2</xdr:col>
      <xdr:colOff>1030942</xdr:colOff>
      <xdr:row>195</xdr:row>
      <xdr:rowOff>818576</xdr:rowOff>
    </xdr:to>
    <xdr:pic>
      <xdr:nvPicPr>
        <xdr:cNvPr id="6" name="Imagen 5">
          <a:extLst>
            <a:ext uri="{FF2B5EF4-FFF2-40B4-BE49-F238E27FC236}">
              <a16:creationId xmlns:a16="http://schemas.microsoft.com/office/drawing/2014/main" id="{02E242B7-3E60-40D4-96B4-6B6C4760E3F2}"/>
            </a:ext>
          </a:extLst>
        </xdr:cNvPr>
        <xdr:cNvPicPr>
          <a:picLocks noChangeAspect="1"/>
        </xdr:cNvPicPr>
      </xdr:nvPicPr>
      <xdr:blipFill>
        <a:blip xmlns:r="http://schemas.openxmlformats.org/officeDocument/2006/relationships" r:embed="rId25"/>
        <a:stretch>
          <a:fillRect/>
        </a:stretch>
      </xdr:blipFill>
      <xdr:spPr>
        <a:xfrm>
          <a:off x="757281" y="120421359"/>
          <a:ext cx="990837" cy="748393"/>
        </a:xfrm>
        <a:prstGeom prst="rect">
          <a:avLst/>
        </a:prstGeom>
      </xdr:spPr>
    </xdr:pic>
    <xdr:clientData/>
  </xdr:twoCellAnchor>
  <xdr:twoCellAnchor>
    <xdr:from>
      <xdr:col>2</xdr:col>
      <xdr:colOff>156883</xdr:colOff>
      <xdr:row>88</xdr:row>
      <xdr:rowOff>67236</xdr:rowOff>
    </xdr:from>
    <xdr:to>
      <xdr:col>2</xdr:col>
      <xdr:colOff>889195</xdr:colOff>
      <xdr:row>88</xdr:row>
      <xdr:rowOff>992521</xdr:rowOff>
    </xdr:to>
    <xdr:pic>
      <xdr:nvPicPr>
        <xdr:cNvPr id="5" name="Picture 42">
          <a:extLst>
            <a:ext uri="{FF2B5EF4-FFF2-40B4-BE49-F238E27FC236}">
              <a16:creationId xmlns:a16="http://schemas.microsoft.com/office/drawing/2014/main" id="{43053926-ABB9-4D85-A141-11C53E9A2DFD}"/>
            </a:ext>
          </a:extLst>
        </xdr:cNvPr>
        <xdr:cNvPicPr>
          <a:picLocks noChangeAspect="1"/>
        </xdr:cNvPicPr>
      </xdr:nvPicPr>
      <xdr:blipFill>
        <a:blip xmlns:r="http://schemas.openxmlformats.org/officeDocument/2006/relationships" r:embed="rId50"/>
        <a:stretch>
          <a:fillRect/>
        </a:stretch>
      </xdr:blipFill>
      <xdr:spPr>
        <a:xfrm>
          <a:off x="874059" y="41327295"/>
          <a:ext cx="732312" cy="925285"/>
        </a:xfrm>
        <a:prstGeom prst="rect">
          <a:avLst/>
        </a:prstGeom>
      </xdr:spPr>
    </xdr:pic>
    <xdr:clientData/>
  </xdr:twoCellAnchor>
  <xdr:twoCellAnchor>
    <xdr:from>
      <xdr:col>2</xdr:col>
      <xdr:colOff>118783</xdr:colOff>
      <xdr:row>90</xdr:row>
      <xdr:rowOff>17930</xdr:rowOff>
    </xdr:from>
    <xdr:to>
      <xdr:col>2</xdr:col>
      <xdr:colOff>851095</xdr:colOff>
      <xdr:row>90</xdr:row>
      <xdr:rowOff>974912</xdr:rowOff>
    </xdr:to>
    <xdr:pic>
      <xdr:nvPicPr>
        <xdr:cNvPr id="7" name="Picture 42">
          <a:extLst>
            <a:ext uri="{FF2B5EF4-FFF2-40B4-BE49-F238E27FC236}">
              <a16:creationId xmlns:a16="http://schemas.microsoft.com/office/drawing/2014/main" id="{30F693B4-AEC9-49C4-85C7-9F7019D0B79E}"/>
            </a:ext>
          </a:extLst>
        </xdr:cNvPr>
        <xdr:cNvPicPr>
          <a:picLocks noChangeAspect="1"/>
        </xdr:cNvPicPr>
      </xdr:nvPicPr>
      <xdr:blipFill>
        <a:blip xmlns:r="http://schemas.openxmlformats.org/officeDocument/2006/relationships" r:embed="rId50"/>
        <a:stretch>
          <a:fillRect/>
        </a:stretch>
      </xdr:blipFill>
      <xdr:spPr>
        <a:xfrm>
          <a:off x="835959" y="43451930"/>
          <a:ext cx="732312" cy="956982"/>
        </a:xfrm>
        <a:prstGeom prst="rect">
          <a:avLst/>
        </a:prstGeom>
      </xdr:spPr>
    </xdr:pic>
    <xdr:clientData/>
  </xdr:twoCellAnchor>
  <xdr:twoCellAnchor>
    <xdr:from>
      <xdr:col>2</xdr:col>
      <xdr:colOff>230842</xdr:colOff>
      <xdr:row>101</xdr:row>
      <xdr:rowOff>51548</xdr:rowOff>
    </xdr:from>
    <xdr:to>
      <xdr:col>2</xdr:col>
      <xdr:colOff>963154</xdr:colOff>
      <xdr:row>102</xdr:row>
      <xdr:rowOff>145676</xdr:rowOff>
    </xdr:to>
    <xdr:pic>
      <xdr:nvPicPr>
        <xdr:cNvPr id="8" name="Picture 42">
          <a:extLst>
            <a:ext uri="{FF2B5EF4-FFF2-40B4-BE49-F238E27FC236}">
              <a16:creationId xmlns:a16="http://schemas.microsoft.com/office/drawing/2014/main" id="{F5480ACC-DFE6-4A9E-AAAD-D5AA22AA66E6}"/>
            </a:ext>
          </a:extLst>
        </xdr:cNvPr>
        <xdr:cNvPicPr>
          <a:picLocks noChangeAspect="1"/>
        </xdr:cNvPicPr>
      </xdr:nvPicPr>
      <xdr:blipFill>
        <a:blip xmlns:r="http://schemas.openxmlformats.org/officeDocument/2006/relationships" r:embed="rId50"/>
        <a:stretch>
          <a:fillRect/>
        </a:stretch>
      </xdr:blipFill>
      <xdr:spPr>
        <a:xfrm>
          <a:off x="948018" y="51172783"/>
          <a:ext cx="732312" cy="1001805"/>
        </a:xfrm>
        <a:prstGeom prst="rect">
          <a:avLst/>
        </a:prstGeom>
      </xdr:spPr>
    </xdr:pic>
    <xdr:clientData/>
  </xdr:twoCellAnchor>
  <xdr:twoCellAnchor>
    <xdr:from>
      <xdr:col>2</xdr:col>
      <xdr:colOff>215154</xdr:colOff>
      <xdr:row>103</xdr:row>
      <xdr:rowOff>112059</xdr:rowOff>
    </xdr:from>
    <xdr:to>
      <xdr:col>2</xdr:col>
      <xdr:colOff>947466</xdr:colOff>
      <xdr:row>103</xdr:row>
      <xdr:rowOff>1176619</xdr:rowOff>
    </xdr:to>
    <xdr:pic>
      <xdr:nvPicPr>
        <xdr:cNvPr id="12" name="Picture 42">
          <a:extLst>
            <a:ext uri="{FF2B5EF4-FFF2-40B4-BE49-F238E27FC236}">
              <a16:creationId xmlns:a16="http://schemas.microsoft.com/office/drawing/2014/main" id="{D5690FFF-C487-4519-97BE-8AEE7FC1528E}"/>
            </a:ext>
          </a:extLst>
        </xdr:cNvPr>
        <xdr:cNvPicPr>
          <a:picLocks noChangeAspect="1"/>
        </xdr:cNvPicPr>
      </xdr:nvPicPr>
      <xdr:blipFill>
        <a:blip xmlns:r="http://schemas.openxmlformats.org/officeDocument/2006/relationships" r:embed="rId50"/>
        <a:stretch>
          <a:fillRect/>
        </a:stretch>
      </xdr:blipFill>
      <xdr:spPr>
        <a:xfrm>
          <a:off x="932330" y="53440853"/>
          <a:ext cx="732312" cy="1064560"/>
        </a:xfrm>
        <a:prstGeom prst="rect">
          <a:avLst/>
        </a:prstGeom>
      </xdr:spPr>
    </xdr:pic>
    <xdr:clientData/>
  </xdr:twoCellAnchor>
  <xdr:twoCellAnchor>
    <xdr:from>
      <xdr:col>2</xdr:col>
      <xdr:colOff>100853</xdr:colOff>
      <xdr:row>175</xdr:row>
      <xdr:rowOff>89647</xdr:rowOff>
    </xdr:from>
    <xdr:to>
      <xdr:col>2</xdr:col>
      <xdr:colOff>1005180</xdr:colOff>
      <xdr:row>175</xdr:row>
      <xdr:rowOff>896061</xdr:rowOff>
    </xdr:to>
    <xdr:pic>
      <xdr:nvPicPr>
        <xdr:cNvPr id="10" name="Imagen 9" descr="Un refrigerador con la puerta abierta&#10;&#10;Descripción generada automáticamente con confianza baja">
          <a:extLst>
            <a:ext uri="{FF2B5EF4-FFF2-40B4-BE49-F238E27FC236}">
              <a16:creationId xmlns:a16="http://schemas.microsoft.com/office/drawing/2014/main" id="{68BBFB1E-B96B-4C8F-B7FE-83FD363DED18}"/>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48514" t="18972" r="25101" b="64164"/>
        <a:stretch/>
      </xdr:blipFill>
      <xdr:spPr>
        <a:xfrm>
          <a:off x="818029" y="97255853"/>
          <a:ext cx="904327" cy="806414"/>
        </a:xfrm>
        <a:prstGeom prst="rect">
          <a:avLst/>
        </a:prstGeom>
      </xdr:spPr>
    </xdr:pic>
    <xdr:clientData/>
  </xdr:twoCellAnchor>
  <xdr:twoCellAnchor>
    <xdr:from>
      <xdr:col>2</xdr:col>
      <xdr:colOff>96371</xdr:colOff>
      <xdr:row>176</xdr:row>
      <xdr:rowOff>96372</xdr:rowOff>
    </xdr:from>
    <xdr:to>
      <xdr:col>2</xdr:col>
      <xdr:colOff>1000698</xdr:colOff>
      <xdr:row>176</xdr:row>
      <xdr:rowOff>902786</xdr:rowOff>
    </xdr:to>
    <xdr:pic>
      <xdr:nvPicPr>
        <xdr:cNvPr id="16" name="Imagen 15" descr="Un refrigerador con la puerta abierta&#10;&#10;Descripción generada automáticamente con confianza baja">
          <a:extLst>
            <a:ext uri="{FF2B5EF4-FFF2-40B4-BE49-F238E27FC236}">
              <a16:creationId xmlns:a16="http://schemas.microsoft.com/office/drawing/2014/main" id="{13D6F02B-8B97-4466-AF22-9E80E6E34328}"/>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48514" t="18972" r="25101" b="64164"/>
        <a:stretch/>
      </xdr:blipFill>
      <xdr:spPr>
        <a:xfrm>
          <a:off x="813547" y="98226284"/>
          <a:ext cx="904327" cy="806414"/>
        </a:xfrm>
        <a:prstGeom prst="rect">
          <a:avLst/>
        </a:prstGeom>
      </xdr:spPr>
    </xdr:pic>
    <xdr:clientData/>
  </xdr:twoCellAnchor>
  <xdr:twoCellAnchor>
    <xdr:from>
      <xdr:col>2</xdr:col>
      <xdr:colOff>190502</xdr:colOff>
      <xdr:row>197</xdr:row>
      <xdr:rowOff>0</xdr:rowOff>
    </xdr:from>
    <xdr:to>
      <xdr:col>2</xdr:col>
      <xdr:colOff>852352</xdr:colOff>
      <xdr:row>197</xdr:row>
      <xdr:rowOff>782568</xdr:rowOff>
    </xdr:to>
    <xdr:pic>
      <xdr:nvPicPr>
        <xdr:cNvPr id="18" name="Imagen 17">
          <a:extLst>
            <a:ext uri="{FF2B5EF4-FFF2-40B4-BE49-F238E27FC236}">
              <a16:creationId xmlns:a16="http://schemas.microsoft.com/office/drawing/2014/main" id="{7D2D252A-7196-466F-909D-54689DF2D4D7}"/>
            </a:ext>
          </a:extLst>
        </xdr:cNvPr>
        <xdr:cNvPicPr>
          <a:picLocks noChangeAspect="1"/>
        </xdr:cNvPicPr>
      </xdr:nvPicPr>
      <xdr:blipFill>
        <a:blip xmlns:r="http://schemas.openxmlformats.org/officeDocument/2006/relationships" r:embed="rId51">
          <a:extLst>
            <a:ext uri="{BEBA8EAE-BF5A-486C-A8C5-ECC9F3942E4B}">
              <a14:imgProps xmlns:a14="http://schemas.microsoft.com/office/drawing/2010/main">
                <a14:imgLayer r:embed="rId52">
                  <a14:imgEffect>
                    <a14:brightnessContrast bright="23000"/>
                  </a14:imgEffect>
                </a14:imgLayer>
              </a14:imgProps>
            </a:ext>
          </a:extLst>
        </a:blip>
        <a:stretch>
          <a:fillRect/>
        </a:stretch>
      </xdr:blipFill>
      <xdr:spPr>
        <a:xfrm>
          <a:off x="907678" y="108271235"/>
          <a:ext cx="661850" cy="782568"/>
        </a:xfrm>
        <a:prstGeom prst="rect">
          <a:avLst/>
        </a:prstGeom>
      </xdr:spPr>
    </xdr:pic>
    <xdr:clientData/>
  </xdr:twoCellAnchor>
  <xdr:twoCellAnchor>
    <xdr:from>
      <xdr:col>2</xdr:col>
      <xdr:colOff>197225</xdr:colOff>
      <xdr:row>198</xdr:row>
      <xdr:rowOff>85164</xdr:rowOff>
    </xdr:from>
    <xdr:to>
      <xdr:col>2</xdr:col>
      <xdr:colOff>859075</xdr:colOff>
      <xdr:row>198</xdr:row>
      <xdr:rowOff>867732</xdr:rowOff>
    </xdr:to>
    <xdr:pic>
      <xdr:nvPicPr>
        <xdr:cNvPr id="19" name="Imagen 18">
          <a:extLst>
            <a:ext uri="{FF2B5EF4-FFF2-40B4-BE49-F238E27FC236}">
              <a16:creationId xmlns:a16="http://schemas.microsoft.com/office/drawing/2014/main" id="{2E4DED1B-D30B-4FBB-95AA-FDCDB7C63557}"/>
            </a:ext>
          </a:extLst>
        </xdr:cNvPr>
        <xdr:cNvPicPr>
          <a:picLocks noChangeAspect="1"/>
        </xdr:cNvPicPr>
      </xdr:nvPicPr>
      <xdr:blipFill>
        <a:blip xmlns:r="http://schemas.openxmlformats.org/officeDocument/2006/relationships" r:embed="rId51">
          <a:extLst>
            <a:ext uri="{BEBA8EAE-BF5A-486C-A8C5-ECC9F3942E4B}">
              <a14:imgProps xmlns:a14="http://schemas.microsoft.com/office/drawing/2010/main">
                <a14:imgLayer r:embed="rId52">
                  <a14:imgEffect>
                    <a14:brightnessContrast bright="23000"/>
                  </a14:imgEffect>
                </a14:imgLayer>
              </a14:imgProps>
            </a:ext>
          </a:extLst>
        </a:blip>
        <a:stretch>
          <a:fillRect/>
        </a:stretch>
      </xdr:blipFill>
      <xdr:spPr>
        <a:xfrm>
          <a:off x="914401" y="109174429"/>
          <a:ext cx="661850" cy="782568"/>
        </a:xfrm>
        <a:prstGeom prst="rect">
          <a:avLst/>
        </a:prstGeom>
      </xdr:spPr>
    </xdr:pic>
    <xdr:clientData/>
  </xdr:twoCellAnchor>
  <xdr:twoCellAnchor>
    <xdr:from>
      <xdr:col>2</xdr:col>
      <xdr:colOff>223158</xdr:colOff>
      <xdr:row>109</xdr:row>
      <xdr:rowOff>32657</xdr:rowOff>
    </xdr:from>
    <xdr:to>
      <xdr:col>2</xdr:col>
      <xdr:colOff>926921</xdr:colOff>
      <xdr:row>109</xdr:row>
      <xdr:rowOff>1666153</xdr:rowOff>
    </xdr:to>
    <xdr:pic>
      <xdr:nvPicPr>
        <xdr:cNvPr id="22" name="Imagen 21">
          <a:extLst>
            <a:ext uri="{FF2B5EF4-FFF2-40B4-BE49-F238E27FC236}">
              <a16:creationId xmlns:a16="http://schemas.microsoft.com/office/drawing/2014/main" id="{B87C7DBC-C5FD-4D17-9968-AF7D097BD24E}"/>
            </a:ext>
          </a:extLst>
        </xdr:cNvPr>
        <xdr:cNvPicPr>
          <a:picLocks noChangeAspect="1"/>
        </xdr:cNvPicPr>
      </xdr:nvPicPr>
      <xdr:blipFill>
        <a:blip xmlns:r="http://schemas.openxmlformats.org/officeDocument/2006/relationships" r:embed="rId53"/>
        <a:stretch>
          <a:fillRect/>
        </a:stretch>
      </xdr:blipFill>
      <xdr:spPr>
        <a:xfrm>
          <a:off x="947058" y="59116232"/>
          <a:ext cx="703763" cy="1633496"/>
        </a:xfrm>
        <a:prstGeom prst="rect">
          <a:avLst/>
        </a:prstGeom>
      </xdr:spPr>
    </xdr:pic>
    <xdr:clientData/>
  </xdr:twoCellAnchor>
  <xdr:twoCellAnchor>
    <xdr:from>
      <xdr:col>2</xdr:col>
      <xdr:colOff>56030</xdr:colOff>
      <xdr:row>48</xdr:row>
      <xdr:rowOff>67235</xdr:rowOff>
    </xdr:from>
    <xdr:to>
      <xdr:col>2</xdr:col>
      <xdr:colOff>1008530</xdr:colOff>
      <xdr:row>51</xdr:row>
      <xdr:rowOff>213095</xdr:rowOff>
    </xdr:to>
    <xdr:pic>
      <xdr:nvPicPr>
        <xdr:cNvPr id="17" name="Imagen 16">
          <a:extLst>
            <a:ext uri="{FF2B5EF4-FFF2-40B4-BE49-F238E27FC236}">
              <a16:creationId xmlns:a16="http://schemas.microsoft.com/office/drawing/2014/main" id="{AB4283DE-BEB2-49D7-A2FB-087EF80A3CBE}"/>
            </a:ext>
          </a:extLst>
        </xdr:cNvPr>
        <xdr:cNvPicPr>
          <a:picLocks noChangeAspect="1"/>
        </xdr:cNvPicPr>
      </xdr:nvPicPr>
      <xdr:blipFill>
        <a:blip xmlns:r="http://schemas.openxmlformats.org/officeDocument/2006/relationships" r:embed="rId54"/>
        <a:stretch>
          <a:fillRect/>
        </a:stretch>
      </xdr:blipFill>
      <xdr:spPr>
        <a:xfrm>
          <a:off x="773206" y="21616147"/>
          <a:ext cx="952500" cy="818213"/>
        </a:xfrm>
        <a:prstGeom prst="rect">
          <a:avLst/>
        </a:prstGeom>
      </xdr:spPr>
    </xdr:pic>
    <xdr:clientData/>
  </xdr:twoCellAnchor>
  <xdr:twoCellAnchor>
    <xdr:from>
      <xdr:col>2</xdr:col>
      <xdr:colOff>44823</xdr:colOff>
      <xdr:row>209</xdr:row>
      <xdr:rowOff>67236</xdr:rowOff>
    </xdr:from>
    <xdr:to>
      <xdr:col>2</xdr:col>
      <xdr:colOff>964251</xdr:colOff>
      <xdr:row>209</xdr:row>
      <xdr:rowOff>723403</xdr:rowOff>
    </xdr:to>
    <xdr:pic>
      <xdr:nvPicPr>
        <xdr:cNvPr id="26" name="Imagen 25">
          <a:extLst>
            <a:ext uri="{FF2B5EF4-FFF2-40B4-BE49-F238E27FC236}">
              <a16:creationId xmlns:a16="http://schemas.microsoft.com/office/drawing/2014/main" id="{47966263-4CF3-4E19-B3E7-187962C8F792}"/>
            </a:ext>
          </a:extLst>
        </xdr:cNvPr>
        <xdr:cNvPicPr>
          <a:picLocks noChangeAspect="1"/>
        </xdr:cNvPicPr>
      </xdr:nvPicPr>
      <xdr:blipFill>
        <a:blip xmlns:r="http://schemas.openxmlformats.org/officeDocument/2006/relationships" r:embed="rId55"/>
        <a:stretch>
          <a:fillRect/>
        </a:stretch>
      </xdr:blipFill>
      <xdr:spPr>
        <a:xfrm>
          <a:off x="761999" y="129237442"/>
          <a:ext cx="919428" cy="656167"/>
        </a:xfrm>
        <a:prstGeom prst="rect">
          <a:avLst/>
        </a:prstGeom>
      </xdr:spPr>
    </xdr:pic>
    <xdr:clientData/>
  </xdr:twoCellAnchor>
  <xdr:twoCellAnchor>
    <xdr:from>
      <xdr:col>2</xdr:col>
      <xdr:colOff>56032</xdr:colOff>
      <xdr:row>210</xdr:row>
      <xdr:rowOff>89646</xdr:rowOff>
    </xdr:from>
    <xdr:to>
      <xdr:col>2</xdr:col>
      <xdr:colOff>1009651</xdr:colOff>
      <xdr:row>210</xdr:row>
      <xdr:rowOff>590798</xdr:rowOff>
    </xdr:to>
    <xdr:pic>
      <xdr:nvPicPr>
        <xdr:cNvPr id="31" name="Imagen 30">
          <a:extLst>
            <a:ext uri="{FF2B5EF4-FFF2-40B4-BE49-F238E27FC236}">
              <a16:creationId xmlns:a16="http://schemas.microsoft.com/office/drawing/2014/main" id="{C8A006AD-734F-4940-A363-ABE82B0DDA00}"/>
            </a:ext>
          </a:extLst>
        </xdr:cNvPr>
        <xdr:cNvPicPr>
          <a:picLocks noChangeAspect="1"/>
        </xdr:cNvPicPr>
      </xdr:nvPicPr>
      <xdr:blipFill>
        <a:blip xmlns:r="http://schemas.openxmlformats.org/officeDocument/2006/relationships" r:embed="rId55"/>
        <a:stretch>
          <a:fillRect/>
        </a:stretch>
      </xdr:blipFill>
      <xdr:spPr>
        <a:xfrm rot="16200000">
          <a:off x="999442" y="129840441"/>
          <a:ext cx="501152" cy="953619"/>
        </a:xfrm>
        <a:prstGeom prst="rect">
          <a:avLst/>
        </a:prstGeom>
      </xdr:spPr>
    </xdr:pic>
    <xdr:clientData/>
  </xdr:twoCellAnchor>
  <xdr:twoCellAnchor>
    <xdr:from>
      <xdr:col>2</xdr:col>
      <xdr:colOff>179295</xdr:colOff>
      <xdr:row>212</xdr:row>
      <xdr:rowOff>33618</xdr:rowOff>
    </xdr:from>
    <xdr:to>
      <xdr:col>2</xdr:col>
      <xdr:colOff>840443</xdr:colOff>
      <xdr:row>212</xdr:row>
      <xdr:rowOff>509279</xdr:rowOff>
    </xdr:to>
    <xdr:pic>
      <xdr:nvPicPr>
        <xdr:cNvPr id="38" name="Imagen 37">
          <a:extLst>
            <a:ext uri="{FF2B5EF4-FFF2-40B4-BE49-F238E27FC236}">
              <a16:creationId xmlns:a16="http://schemas.microsoft.com/office/drawing/2014/main" id="{758861D7-C0A6-490F-8A48-BAE48202014F}"/>
            </a:ext>
          </a:extLst>
        </xdr:cNvPr>
        <xdr:cNvPicPr>
          <a:picLocks noChangeAspect="1"/>
        </xdr:cNvPicPr>
      </xdr:nvPicPr>
      <xdr:blipFill>
        <a:blip xmlns:r="http://schemas.openxmlformats.org/officeDocument/2006/relationships" r:embed="rId48"/>
        <a:stretch>
          <a:fillRect/>
        </a:stretch>
      </xdr:blipFill>
      <xdr:spPr>
        <a:xfrm>
          <a:off x="896471" y="131590677"/>
          <a:ext cx="661148" cy="475661"/>
        </a:xfrm>
        <a:prstGeom prst="rect">
          <a:avLst/>
        </a:prstGeom>
      </xdr:spPr>
    </xdr:pic>
    <xdr:clientData/>
  </xdr:twoCellAnchor>
  <xdr:twoCellAnchor>
    <xdr:from>
      <xdr:col>2</xdr:col>
      <xdr:colOff>223157</xdr:colOff>
      <xdr:row>110</xdr:row>
      <xdr:rowOff>163286</xdr:rowOff>
    </xdr:from>
    <xdr:to>
      <xdr:col>2</xdr:col>
      <xdr:colOff>925228</xdr:colOff>
      <xdr:row>110</xdr:row>
      <xdr:rowOff>1790700</xdr:rowOff>
    </xdr:to>
    <xdr:pic>
      <xdr:nvPicPr>
        <xdr:cNvPr id="11273" name="Imagen 11272">
          <a:extLst>
            <a:ext uri="{FF2B5EF4-FFF2-40B4-BE49-F238E27FC236}">
              <a16:creationId xmlns:a16="http://schemas.microsoft.com/office/drawing/2014/main" id="{41D12786-F380-4AD4-8A43-969B95D06FAF}"/>
            </a:ext>
          </a:extLst>
        </xdr:cNvPr>
        <xdr:cNvPicPr>
          <a:picLocks noChangeAspect="1"/>
        </xdr:cNvPicPr>
      </xdr:nvPicPr>
      <xdr:blipFill>
        <a:blip xmlns:r="http://schemas.openxmlformats.org/officeDocument/2006/relationships" r:embed="rId53"/>
        <a:stretch>
          <a:fillRect/>
        </a:stretch>
      </xdr:blipFill>
      <xdr:spPr>
        <a:xfrm>
          <a:off x="947057" y="60942311"/>
          <a:ext cx="702071" cy="1627414"/>
        </a:xfrm>
        <a:prstGeom prst="rect">
          <a:avLst/>
        </a:prstGeom>
      </xdr:spPr>
    </xdr:pic>
    <xdr:clientData/>
  </xdr:twoCellAnchor>
  <xdr:twoCellAnchor>
    <xdr:from>
      <xdr:col>2</xdr:col>
      <xdr:colOff>235403</xdr:colOff>
      <xdr:row>108</xdr:row>
      <xdr:rowOff>120226</xdr:rowOff>
    </xdr:from>
    <xdr:to>
      <xdr:col>2</xdr:col>
      <xdr:colOff>899431</xdr:colOff>
      <xdr:row>108</xdr:row>
      <xdr:rowOff>1662472</xdr:rowOff>
    </xdr:to>
    <xdr:pic>
      <xdr:nvPicPr>
        <xdr:cNvPr id="11274" name="Imagen 11273">
          <a:extLst>
            <a:ext uri="{FF2B5EF4-FFF2-40B4-BE49-F238E27FC236}">
              <a16:creationId xmlns:a16="http://schemas.microsoft.com/office/drawing/2014/main" id="{0CF605E6-D07A-4923-B966-78F88DABCAD2}"/>
            </a:ext>
          </a:extLst>
        </xdr:cNvPr>
        <xdr:cNvPicPr>
          <a:picLocks noChangeAspect="1"/>
        </xdr:cNvPicPr>
      </xdr:nvPicPr>
      <xdr:blipFill>
        <a:blip xmlns:r="http://schemas.openxmlformats.org/officeDocument/2006/relationships" r:embed="rId53"/>
        <a:stretch>
          <a:fillRect/>
        </a:stretch>
      </xdr:blipFill>
      <xdr:spPr>
        <a:xfrm>
          <a:off x="959303" y="57375001"/>
          <a:ext cx="664028" cy="1542246"/>
        </a:xfrm>
        <a:prstGeom prst="rect">
          <a:avLst/>
        </a:prstGeom>
      </xdr:spPr>
    </xdr:pic>
    <xdr:clientData/>
  </xdr:twoCellAnchor>
  <xdr:twoCellAnchor>
    <xdr:from>
      <xdr:col>2</xdr:col>
      <xdr:colOff>206829</xdr:colOff>
      <xdr:row>111</xdr:row>
      <xdr:rowOff>119742</xdr:rowOff>
    </xdr:from>
    <xdr:to>
      <xdr:col>2</xdr:col>
      <xdr:colOff>932321</xdr:colOff>
      <xdr:row>111</xdr:row>
      <xdr:rowOff>1801265</xdr:rowOff>
    </xdr:to>
    <xdr:pic>
      <xdr:nvPicPr>
        <xdr:cNvPr id="11276" name="Imagen 11275">
          <a:extLst>
            <a:ext uri="{FF2B5EF4-FFF2-40B4-BE49-F238E27FC236}">
              <a16:creationId xmlns:a16="http://schemas.microsoft.com/office/drawing/2014/main" id="{35C0205A-5084-4439-925E-A39DC1A0DC2C}"/>
            </a:ext>
          </a:extLst>
        </xdr:cNvPr>
        <xdr:cNvPicPr>
          <a:picLocks noChangeAspect="1"/>
        </xdr:cNvPicPr>
      </xdr:nvPicPr>
      <xdr:blipFill>
        <a:blip xmlns:r="http://schemas.openxmlformats.org/officeDocument/2006/relationships" r:embed="rId53"/>
        <a:stretch>
          <a:fillRect/>
        </a:stretch>
      </xdr:blipFill>
      <xdr:spPr>
        <a:xfrm>
          <a:off x="947058" y="62560199"/>
          <a:ext cx="725492" cy="1676080"/>
        </a:xfrm>
        <a:prstGeom prst="rect">
          <a:avLst/>
        </a:prstGeom>
      </xdr:spPr>
    </xdr:pic>
    <xdr:clientData/>
  </xdr:twoCellAnchor>
  <xdr:twoCellAnchor>
    <xdr:from>
      <xdr:col>2</xdr:col>
      <xdr:colOff>85725</xdr:colOff>
      <xdr:row>161</xdr:row>
      <xdr:rowOff>60246</xdr:rowOff>
    </xdr:from>
    <xdr:to>
      <xdr:col>2</xdr:col>
      <xdr:colOff>1028699</xdr:colOff>
      <xdr:row>161</xdr:row>
      <xdr:rowOff>1714500</xdr:rowOff>
    </xdr:to>
    <xdr:pic>
      <xdr:nvPicPr>
        <xdr:cNvPr id="96" name="Imagen 95">
          <a:extLst>
            <a:ext uri="{FF2B5EF4-FFF2-40B4-BE49-F238E27FC236}">
              <a16:creationId xmlns:a16="http://schemas.microsoft.com/office/drawing/2014/main" id="{80448753-7354-F070-C018-8BDEEF4E0222}"/>
            </a:ext>
          </a:extLst>
        </xdr:cNvPr>
        <xdr:cNvPicPr>
          <a:picLocks noChangeAspect="1"/>
        </xdr:cNvPicPr>
      </xdr:nvPicPr>
      <xdr:blipFill>
        <a:blip xmlns:r="http://schemas.openxmlformats.org/officeDocument/2006/relationships" r:embed="rId56"/>
        <a:stretch>
          <a:fillRect/>
        </a:stretch>
      </xdr:blipFill>
      <xdr:spPr>
        <a:xfrm flipH="1">
          <a:off x="809625" y="95767446"/>
          <a:ext cx="942974" cy="1654254"/>
        </a:xfrm>
        <a:prstGeom prst="rect">
          <a:avLst/>
        </a:prstGeom>
      </xdr:spPr>
    </xdr:pic>
    <xdr:clientData/>
  </xdr:twoCellAnchor>
  <xdr:twoCellAnchor>
    <xdr:from>
      <xdr:col>2</xdr:col>
      <xdr:colOff>85725</xdr:colOff>
      <xdr:row>163</xdr:row>
      <xdr:rowOff>50142</xdr:rowOff>
    </xdr:from>
    <xdr:to>
      <xdr:col>2</xdr:col>
      <xdr:colOff>971550</xdr:colOff>
      <xdr:row>163</xdr:row>
      <xdr:rowOff>1638300</xdr:rowOff>
    </xdr:to>
    <xdr:pic>
      <xdr:nvPicPr>
        <xdr:cNvPr id="102" name="Imagen 101">
          <a:extLst>
            <a:ext uri="{FF2B5EF4-FFF2-40B4-BE49-F238E27FC236}">
              <a16:creationId xmlns:a16="http://schemas.microsoft.com/office/drawing/2014/main" id="{792A194A-1A56-4072-C134-E2ADDCDDB7F5}"/>
            </a:ext>
          </a:extLst>
        </xdr:cNvPr>
        <xdr:cNvPicPr>
          <a:picLocks noChangeAspect="1"/>
        </xdr:cNvPicPr>
      </xdr:nvPicPr>
      <xdr:blipFill rotWithShape="1">
        <a:blip xmlns:r="http://schemas.openxmlformats.org/officeDocument/2006/relationships" r:embed="rId57"/>
        <a:srcRect l="8617" r="11191"/>
        <a:stretch/>
      </xdr:blipFill>
      <xdr:spPr>
        <a:xfrm>
          <a:off x="809625" y="99291117"/>
          <a:ext cx="885825" cy="1588158"/>
        </a:xfrm>
        <a:prstGeom prst="rect">
          <a:avLst/>
        </a:prstGeom>
      </xdr:spPr>
    </xdr:pic>
    <xdr:clientData/>
  </xdr:twoCellAnchor>
  <xdr:twoCellAnchor>
    <xdr:from>
      <xdr:col>2</xdr:col>
      <xdr:colOff>100726</xdr:colOff>
      <xdr:row>160</xdr:row>
      <xdr:rowOff>19051</xdr:rowOff>
    </xdr:from>
    <xdr:to>
      <xdr:col>2</xdr:col>
      <xdr:colOff>1019176</xdr:colOff>
      <xdr:row>160</xdr:row>
      <xdr:rowOff>2038350</xdr:rowOff>
    </xdr:to>
    <xdr:pic>
      <xdr:nvPicPr>
        <xdr:cNvPr id="106" name="Imagen 105">
          <a:extLst>
            <a:ext uri="{FF2B5EF4-FFF2-40B4-BE49-F238E27FC236}">
              <a16:creationId xmlns:a16="http://schemas.microsoft.com/office/drawing/2014/main" id="{A9672189-B428-6F87-81F2-AAABE207F026}"/>
            </a:ext>
          </a:extLst>
        </xdr:cNvPr>
        <xdr:cNvPicPr>
          <a:picLocks noChangeAspect="1"/>
        </xdr:cNvPicPr>
      </xdr:nvPicPr>
      <xdr:blipFill>
        <a:blip xmlns:r="http://schemas.openxmlformats.org/officeDocument/2006/relationships" r:embed="rId58"/>
        <a:stretch>
          <a:fillRect/>
        </a:stretch>
      </xdr:blipFill>
      <xdr:spPr>
        <a:xfrm>
          <a:off x="824626" y="93621226"/>
          <a:ext cx="918450" cy="2019299"/>
        </a:xfrm>
        <a:prstGeom prst="rect">
          <a:avLst/>
        </a:prstGeom>
      </xdr:spPr>
    </xdr:pic>
    <xdr:clientData/>
  </xdr:twoCellAnchor>
  <xdr:twoCellAnchor>
    <xdr:from>
      <xdr:col>2</xdr:col>
      <xdr:colOff>76199</xdr:colOff>
      <xdr:row>162</xdr:row>
      <xdr:rowOff>76199</xdr:rowOff>
    </xdr:from>
    <xdr:to>
      <xdr:col>2</xdr:col>
      <xdr:colOff>1019174</xdr:colOff>
      <xdr:row>162</xdr:row>
      <xdr:rowOff>1714500</xdr:rowOff>
    </xdr:to>
    <xdr:pic>
      <xdr:nvPicPr>
        <xdr:cNvPr id="107" name="Imagen 106">
          <a:extLst>
            <a:ext uri="{FF2B5EF4-FFF2-40B4-BE49-F238E27FC236}">
              <a16:creationId xmlns:a16="http://schemas.microsoft.com/office/drawing/2014/main" id="{DF63928B-0D9B-3F93-1FE4-65E8F51ACF4E}"/>
            </a:ext>
          </a:extLst>
        </xdr:cNvPr>
        <xdr:cNvPicPr>
          <a:picLocks noChangeAspect="1"/>
        </xdr:cNvPicPr>
      </xdr:nvPicPr>
      <xdr:blipFill>
        <a:blip xmlns:r="http://schemas.openxmlformats.org/officeDocument/2006/relationships" r:embed="rId59"/>
        <a:stretch>
          <a:fillRect/>
        </a:stretch>
      </xdr:blipFill>
      <xdr:spPr>
        <a:xfrm flipH="1">
          <a:off x="800099" y="97545524"/>
          <a:ext cx="942975" cy="1638301"/>
        </a:xfrm>
        <a:prstGeom prst="rect">
          <a:avLst/>
        </a:prstGeom>
      </xdr:spPr>
    </xdr:pic>
    <xdr:clientData/>
  </xdr:twoCellAnchor>
  <xdr:twoCellAnchor>
    <xdr:from>
      <xdr:col>2</xdr:col>
      <xdr:colOff>152400</xdr:colOff>
      <xdr:row>95</xdr:row>
      <xdr:rowOff>95249</xdr:rowOff>
    </xdr:from>
    <xdr:to>
      <xdr:col>2</xdr:col>
      <xdr:colOff>911472</xdr:colOff>
      <xdr:row>95</xdr:row>
      <xdr:rowOff>1133474</xdr:rowOff>
    </xdr:to>
    <xdr:pic>
      <xdr:nvPicPr>
        <xdr:cNvPr id="32" name="Imagen 31">
          <a:extLst>
            <a:ext uri="{FF2B5EF4-FFF2-40B4-BE49-F238E27FC236}">
              <a16:creationId xmlns:a16="http://schemas.microsoft.com/office/drawing/2014/main" id="{9E15FAEF-A0AB-4C8D-BD8B-B0269FA3EA16}"/>
            </a:ext>
          </a:extLst>
        </xdr:cNvPr>
        <xdr:cNvPicPr>
          <a:picLocks noChangeAspect="1"/>
        </xdr:cNvPicPr>
      </xdr:nvPicPr>
      <xdr:blipFill>
        <a:blip xmlns:r="http://schemas.openxmlformats.org/officeDocument/2006/relationships" r:embed="rId7"/>
        <a:stretch>
          <a:fillRect/>
        </a:stretch>
      </xdr:blipFill>
      <xdr:spPr>
        <a:xfrm>
          <a:off x="876300" y="47224949"/>
          <a:ext cx="759072" cy="1038225"/>
        </a:xfrm>
        <a:prstGeom prst="rect">
          <a:avLst/>
        </a:prstGeom>
      </xdr:spPr>
    </xdr:pic>
    <xdr:clientData/>
  </xdr:twoCellAnchor>
  <xdr:twoCellAnchor>
    <xdr:from>
      <xdr:col>2</xdr:col>
      <xdr:colOff>152400</xdr:colOff>
      <xdr:row>96</xdr:row>
      <xdr:rowOff>47624</xdr:rowOff>
    </xdr:from>
    <xdr:to>
      <xdr:col>2</xdr:col>
      <xdr:colOff>911472</xdr:colOff>
      <xdr:row>96</xdr:row>
      <xdr:rowOff>1085849</xdr:rowOff>
    </xdr:to>
    <xdr:pic>
      <xdr:nvPicPr>
        <xdr:cNvPr id="34" name="Imagen 33">
          <a:extLst>
            <a:ext uri="{FF2B5EF4-FFF2-40B4-BE49-F238E27FC236}">
              <a16:creationId xmlns:a16="http://schemas.microsoft.com/office/drawing/2014/main" id="{22291479-B43B-4799-AA37-6D5239889948}"/>
            </a:ext>
          </a:extLst>
        </xdr:cNvPr>
        <xdr:cNvPicPr>
          <a:picLocks noChangeAspect="1"/>
        </xdr:cNvPicPr>
      </xdr:nvPicPr>
      <xdr:blipFill>
        <a:blip xmlns:r="http://schemas.openxmlformats.org/officeDocument/2006/relationships" r:embed="rId7"/>
        <a:stretch>
          <a:fillRect/>
        </a:stretch>
      </xdr:blipFill>
      <xdr:spPr>
        <a:xfrm>
          <a:off x="876300" y="48377474"/>
          <a:ext cx="759072" cy="1038225"/>
        </a:xfrm>
        <a:prstGeom prst="rect">
          <a:avLst/>
        </a:prstGeom>
      </xdr:spPr>
    </xdr:pic>
    <xdr:clientData/>
  </xdr:twoCellAnchor>
  <xdr:twoCellAnchor>
    <xdr:from>
      <xdr:col>2</xdr:col>
      <xdr:colOff>133350</xdr:colOff>
      <xdr:row>97</xdr:row>
      <xdr:rowOff>66674</xdr:rowOff>
    </xdr:from>
    <xdr:to>
      <xdr:col>2</xdr:col>
      <xdr:colOff>892422</xdr:colOff>
      <xdr:row>97</xdr:row>
      <xdr:rowOff>1104899</xdr:rowOff>
    </xdr:to>
    <xdr:pic>
      <xdr:nvPicPr>
        <xdr:cNvPr id="35" name="Imagen 34">
          <a:extLst>
            <a:ext uri="{FF2B5EF4-FFF2-40B4-BE49-F238E27FC236}">
              <a16:creationId xmlns:a16="http://schemas.microsoft.com/office/drawing/2014/main" id="{81C6B0BD-2437-4304-AA0C-A94E8E5DC401}"/>
            </a:ext>
          </a:extLst>
        </xdr:cNvPr>
        <xdr:cNvPicPr>
          <a:picLocks noChangeAspect="1"/>
        </xdr:cNvPicPr>
      </xdr:nvPicPr>
      <xdr:blipFill>
        <a:blip xmlns:r="http://schemas.openxmlformats.org/officeDocument/2006/relationships" r:embed="rId7"/>
        <a:stretch>
          <a:fillRect/>
        </a:stretch>
      </xdr:blipFill>
      <xdr:spPr>
        <a:xfrm>
          <a:off x="857250" y="49596674"/>
          <a:ext cx="759072" cy="1038225"/>
        </a:xfrm>
        <a:prstGeom prst="rect">
          <a:avLst/>
        </a:prstGeom>
      </xdr:spPr>
    </xdr:pic>
    <xdr:clientData/>
  </xdr:twoCellAnchor>
  <xdr:twoCellAnchor>
    <xdr:from>
      <xdr:col>2</xdr:col>
      <xdr:colOff>114300</xdr:colOff>
      <xdr:row>98</xdr:row>
      <xdr:rowOff>47624</xdr:rowOff>
    </xdr:from>
    <xdr:to>
      <xdr:col>2</xdr:col>
      <xdr:colOff>873372</xdr:colOff>
      <xdr:row>98</xdr:row>
      <xdr:rowOff>1085849</xdr:rowOff>
    </xdr:to>
    <xdr:pic>
      <xdr:nvPicPr>
        <xdr:cNvPr id="36" name="Imagen 35">
          <a:extLst>
            <a:ext uri="{FF2B5EF4-FFF2-40B4-BE49-F238E27FC236}">
              <a16:creationId xmlns:a16="http://schemas.microsoft.com/office/drawing/2014/main" id="{729703F6-CCAA-4408-A406-47DFA2BDE2E5}"/>
            </a:ext>
          </a:extLst>
        </xdr:cNvPr>
        <xdr:cNvPicPr>
          <a:picLocks noChangeAspect="1"/>
        </xdr:cNvPicPr>
      </xdr:nvPicPr>
      <xdr:blipFill>
        <a:blip xmlns:r="http://schemas.openxmlformats.org/officeDocument/2006/relationships" r:embed="rId7"/>
        <a:stretch>
          <a:fillRect/>
        </a:stretch>
      </xdr:blipFill>
      <xdr:spPr>
        <a:xfrm>
          <a:off x="838200" y="50711099"/>
          <a:ext cx="759072" cy="1038225"/>
        </a:xfrm>
        <a:prstGeom prst="rect">
          <a:avLst/>
        </a:prstGeom>
      </xdr:spPr>
    </xdr:pic>
    <xdr:clientData/>
  </xdr:twoCellAnchor>
  <xdr:twoCellAnchor>
    <xdr:from>
      <xdr:col>2</xdr:col>
      <xdr:colOff>161925</xdr:colOff>
      <xdr:row>7</xdr:row>
      <xdr:rowOff>66675</xdr:rowOff>
    </xdr:from>
    <xdr:to>
      <xdr:col>2</xdr:col>
      <xdr:colOff>892358</xdr:colOff>
      <xdr:row>7</xdr:row>
      <xdr:rowOff>1090424</xdr:rowOff>
    </xdr:to>
    <xdr:pic>
      <xdr:nvPicPr>
        <xdr:cNvPr id="23" name="Imagen 22">
          <a:extLst>
            <a:ext uri="{FF2B5EF4-FFF2-40B4-BE49-F238E27FC236}">
              <a16:creationId xmlns:a16="http://schemas.microsoft.com/office/drawing/2014/main" id="{7F542629-F434-48F6-AE71-2B806B3F2F2C}"/>
            </a:ext>
          </a:extLst>
        </xdr:cNvPr>
        <xdr:cNvPicPr>
          <a:picLocks noChangeAspect="1"/>
        </xdr:cNvPicPr>
      </xdr:nvPicPr>
      <xdr:blipFill>
        <a:blip xmlns:r="http://schemas.openxmlformats.org/officeDocument/2006/relationships" r:embed="rId60"/>
        <a:stretch>
          <a:fillRect/>
        </a:stretch>
      </xdr:blipFill>
      <xdr:spPr>
        <a:xfrm>
          <a:off x="885825" y="2438400"/>
          <a:ext cx="730433" cy="1023749"/>
        </a:xfrm>
        <a:prstGeom prst="rect">
          <a:avLst/>
        </a:prstGeom>
      </xdr:spPr>
    </xdr:pic>
    <xdr:clientData/>
  </xdr:twoCellAnchor>
  <xdr:twoCellAnchor>
    <xdr:from>
      <xdr:col>2</xdr:col>
      <xdr:colOff>179295</xdr:colOff>
      <xdr:row>147</xdr:row>
      <xdr:rowOff>67235</xdr:rowOff>
    </xdr:from>
    <xdr:to>
      <xdr:col>2</xdr:col>
      <xdr:colOff>1019587</xdr:colOff>
      <xdr:row>147</xdr:row>
      <xdr:rowOff>1277471</xdr:rowOff>
    </xdr:to>
    <xdr:pic>
      <xdr:nvPicPr>
        <xdr:cNvPr id="39" name="Imagen 23">
          <a:extLst>
            <a:ext uri="{FF2B5EF4-FFF2-40B4-BE49-F238E27FC236}">
              <a16:creationId xmlns:a16="http://schemas.microsoft.com/office/drawing/2014/main" id="{9F6421B0-82AD-4FBF-8176-FAC613418DFC}"/>
            </a:ext>
          </a:extLst>
        </xdr:cNvPr>
        <xdr:cNvPicPr>
          <a:picLocks noChangeAspect="1"/>
        </xdr:cNvPicPr>
      </xdr:nvPicPr>
      <xdr:blipFill>
        <a:blip xmlns:r="http://schemas.openxmlformats.org/officeDocument/2006/relationships" r:embed="rId61">
          <a:extLst>
            <a:ext uri="{BEBA8EAE-BF5A-486C-A8C5-ECC9F3942E4B}">
              <a14:imgProps xmlns:a14="http://schemas.microsoft.com/office/drawing/2010/main">
                <a14:imgLayer r:embed="rId62">
                  <a14:imgEffect>
                    <a14:brightnessContrast bright="21000" contrast="-10000"/>
                  </a14:imgEffect>
                </a14:imgLayer>
              </a14:imgProps>
            </a:ext>
          </a:extLst>
        </a:blip>
        <a:stretch>
          <a:fillRect/>
        </a:stretch>
      </xdr:blipFill>
      <xdr:spPr>
        <a:xfrm>
          <a:off x="896471" y="89210029"/>
          <a:ext cx="840292" cy="1210236"/>
        </a:xfrm>
        <a:prstGeom prst="rect">
          <a:avLst/>
        </a:prstGeom>
      </xdr:spPr>
    </xdr:pic>
    <xdr:clientData/>
  </xdr:twoCellAnchor>
  <xdr:twoCellAnchor>
    <xdr:from>
      <xdr:col>2</xdr:col>
      <xdr:colOff>179294</xdr:colOff>
      <xdr:row>148</xdr:row>
      <xdr:rowOff>56029</xdr:rowOff>
    </xdr:from>
    <xdr:to>
      <xdr:col>2</xdr:col>
      <xdr:colOff>1019586</xdr:colOff>
      <xdr:row>148</xdr:row>
      <xdr:rowOff>1266265</xdr:rowOff>
    </xdr:to>
    <xdr:pic>
      <xdr:nvPicPr>
        <xdr:cNvPr id="42" name="Imagen 23">
          <a:extLst>
            <a:ext uri="{FF2B5EF4-FFF2-40B4-BE49-F238E27FC236}">
              <a16:creationId xmlns:a16="http://schemas.microsoft.com/office/drawing/2014/main" id="{9DF4362E-DFFA-4649-B895-63AC18EE80CC}"/>
            </a:ext>
          </a:extLst>
        </xdr:cNvPr>
        <xdr:cNvPicPr>
          <a:picLocks noChangeAspect="1"/>
        </xdr:cNvPicPr>
      </xdr:nvPicPr>
      <xdr:blipFill>
        <a:blip xmlns:r="http://schemas.openxmlformats.org/officeDocument/2006/relationships" r:embed="rId61">
          <a:extLst>
            <a:ext uri="{BEBA8EAE-BF5A-486C-A8C5-ECC9F3942E4B}">
              <a14:imgProps xmlns:a14="http://schemas.microsoft.com/office/drawing/2010/main">
                <a14:imgLayer r:embed="rId62">
                  <a14:imgEffect>
                    <a14:brightnessContrast bright="21000" contrast="-10000"/>
                  </a14:imgEffect>
                </a14:imgLayer>
              </a14:imgProps>
            </a:ext>
          </a:extLst>
        </a:blip>
        <a:stretch>
          <a:fillRect/>
        </a:stretch>
      </xdr:blipFill>
      <xdr:spPr>
        <a:xfrm>
          <a:off x="896470" y="90543529"/>
          <a:ext cx="840292" cy="1210236"/>
        </a:xfrm>
        <a:prstGeom prst="rect">
          <a:avLst/>
        </a:prstGeom>
      </xdr:spPr>
    </xdr:pic>
    <xdr:clientData/>
  </xdr:twoCellAnchor>
  <xdr:twoCellAnchor>
    <xdr:from>
      <xdr:col>2</xdr:col>
      <xdr:colOff>179295</xdr:colOff>
      <xdr:row>149</xdr:row>
      <xdr:rowOff>56030</xdr:rowOff>
    </xdr:from>
    <xdr:to>
      <xdr:col>2</xdr:col>
      <xdr:colOff>1019587</xdr:colOff>
      <xdr:row>149</xdr:row>
      <xdr:rowOff>1266266</xdr:rowOff>
    </xdr:to>
    <xdr:pic>
      <xdr:nvPicPr>
        <xdr:cNvPr id="46" name="Imagen 23">
          <a:extLst>
            <a:ext uri="{FF2B5EF4-FFF2-40B4-BE49-F238E27FC236}">
              <a16:creationId xmlns:a16="http://schemas.microsoft.com/office/drawing/2014/main" id="{AF6D01F6-8E69-4645-844E-90298B14A93A}"/>
            </a:ext>
          </a:extLst>
        </xdr:cNvPr>
        <xdr:cNvPicPr>
          <a:picLocks noChangeAspect="1"/>
        </xdr:cNvPicPr>
      </xdr:nvPicPr>
      <xdr:blipFill>
        <a:blip xmlns:r="http://schemas.openxmlformats.org/officeDocument/2006/relationships" r:embed="rId61">
          <a:extLst>
            <a:ext uri="{BEBA8EAE-BF5A-486C-A8C5-ECC9F3942E4B}">
              <a14:imgProps xmlns:a14="http://schemas.microsoft.com/office/drawing/2010/main">
                <a14:imgLayer r:embed="rId62">
                  <a14:imgEffect>
                    <a14:brightnessContrast bright="21000" contrast="-10000"/>
                  </a14:imgEffect>
                </a14:imgLayer>
              </a14:imgProps>
            </a:ext>
          </a:extLst>
        </a:blip>
        <a:stretch>
          <a:fillRect/>
        </a:stretch>
      </xdr:blipFill>
      <xdr:spPr>
        <a:xfrm>
          <a:off x="896471" y="91888236"/>
          <a:ext cx="840292" cy="1210236"/>
        </a:xfrm>
        <a:prstGeom prst="rect">
          <a:avLst/>
        </a:prstGeom>
      </xdr:spPr>
    </xdr:pic>
    <xdr:clientData/>
  </xdr:twoCellAnchor>
  <xdr:twoCellAnchor>
    <xdr:from>
      <xdr:col>2</xdr:col>
      <xdr:colOff>179294</xdr:colOff>
      <xdr:row>150</xdr:row>
      <xdr:rowOff>67236</xdr:rowOff>
    </xdr:from>
    <xdr:to>
      <xdr:col>2</xdr:col>
      <xdr:colOff>1019586</xdr:colOff>
      <xdr:row>150</xdr:row>
      <xdr:rowOff>1277472</xdr:rowOff>
    </xdr:to>
    <xdr:pic>
      <xdr:nvPicPr>
        <xdr:cNvPr id="47" name="Imagen 23">
          <a:extLst>
            <a:ext uri="{FF2B5EF4-FFF2-40B4-BE49-F238E27FC236}">
              <a16:creationId xmlns:a16="http://schemas.microsoft.com/office/drawing/2014/main" id="{3A921178-F1F8-4EDE-8BB3-9B5E1C75D64D}"/>
            </a:ext>
          </a:extLst>
        </xdr:cNvPr>
        <xdr:cNvPicPr>
          <a:picLocks noChangeAspect="1"/>
        </xdr:cNvPicPr>
      </xdr:nvPicPr>
      <xdr:blipFill>
        <a:blip xmlns:r="http://schemas.openxmlformats.org/officeDocument/2006/relationships" r:embed="rId61">
          <a:extLst>
            <a:ext uri="{BEBA8EAE-BF5A-486C-A8C5-ECC9F3942E4B}">
              <a14:imgProps xmlns:a14="http://schemas.microsoft.com/office/drawing/2010/main">
                <a14:imgLayer r:embed="rId62">
                  <a14:imgEffect>
                    <a14:brightnessContrast bright="21000" contrast="-10000"/>
                  </a14:imgEffect>
                </a14:imgLayer>
              </a14:imgProps>
            </a:ext>
          </a:extLst>
        </a:blip>
        <a:stretch>
          <a:fillRect/>
        </a:stretch>
      </xdr:blipFill>
      <xdr:spPr>
        <a:xfrm>
          <a:off x="896470" y="93244148"/>
          <a:ext cx="840292" cy="1210236"/>
        </a:xfrm>
        <a:prstGeom prst="rect">
          <a:avLst/>
        </a:prstGeom>
      </xdr:spPr>
    </xdr:pic>
    <xdr:clientData/>
  </xdr:twoCellAnchor>
  <xdr:twoCellAnchor>
    <xdr:from>
      <xdr:col>2</xdr:col>
      <xdr:colOff>179294</xdr:colOff>
      <xdr:row>171</xdr:row>
      <xdr:rowOff>67236</xdr:rowOff>
    </xdr:from>
    <xdr:to>
      <xdr:col>2</xdr:col>
      <xdr:colOff>941295</xdr:colOff>
      <xdr:row>171</xdr:row>
      <xdr:rowOff>1105092</xdr:rowOff>
    </xdr:to>
    <xdr:pic>
      <xdr:nvPicPr>
        <xdr:cNvPr id="48" name="Imagen 47">
          <a:extLst>
            <a:ext uri="{FF2B5EF4-FFF2-40B4-BE49-F238E27FC236}">
              <a16:creationId xmlns:a16="http://schemas.microsoft.com/office/drawing/2014/main" id="{F1D68AF9-3C3C-4AE7-8DE8-877AFACF485E}"/>
            </a:ext>
          </a:extLst>
        </xdr:cNvPr>
        <xdr:cNvPicPr>
          <a:picLocks noChangeAspect="1"/>
        </xdr:cNvPicPr>
      </xdr:nvPicPr>
      <xdr:blipFill rotWithShape="1">
        <a:blip xmlns:r="http://schemas.openxmlformats.org/officeDocument/2006/relationships" r:embed="rId63"/>
        <a:srcRect l="3950" r="12771"/>
        <a:stretch/>
      </xdr:blipFill>
      <xdr:spPr>
        <a:xfrm>
          <a:off x="896470" y="105301677"/>
          <a:ext cx="762001" cy="1037856"/>
        </a:xfrm>
        <a:prstGeom prst="rect">
          <a:avLst/>
        </a:prstGeom>
      </xdr:spPr>
    </xdr:pic>
    <xdr:clientData/>
  </xdr:twoCellAnchor>
  <xdr:twoCellAnchor>
    <xdr:from>
      <xdr:col>2</xdr:col>
      <xdr:colOff>152400</xdr:colOff>
      <xdr:row>173</xdr:row>
      <xdr:rowOff>85166</xdr:rowOff>
    </xdr:from>
    <xdr:to>
      <xdr:col>2</xdr:col>
      <xdr:colOff>914401</xdr:colOff>
      <xdr:row>173</xdr:row>
      <xdr:rowOff>1123022</xdr:rowOff>
    </xdr:to>
    <xdr:pic>
      <xdr:nvPicPr>
        <xdr:cNvPr id="52" name="Imagen 51">
          <a:extLst>
            <a:ext uri="{FF2B5EF4-FFF2-40B4-BE49-F238E27FC236}">
              <a16:creationId xmlns:a16="http://schemas.microsoft.com/office/drawing/2014/main" id="{3B1DF845-6EBB-4DA4-82F2-3042C4589C9B}"/>
            </a:ext>
          </a:extLst>
        </xdr:cNvPr>
        <xdr:cNvPicPr>
          <a:picLocks noChangeAspect="1"/>
        </xdr:cNvPicPr>
      </xdr:nvPicPr>
      <xdr:blipFill rotWithShape="1">
        <a:blip xmlns:r="http://schemas.openxmlformats.org/officeDocument/2006/relationships" r:embed="rId63"/>
        <a:srcRect l="3950" r="12771"/>
        <a:stretch/>
      </xdr:blipFill>
      <xdr:spPr>
        <a:xfrm>
          <a:off x="869576" y="107672842"/>
          <a:ext cx="762001" cy="1037856"/>
        </a:xfrm>
        <a:prstGeom prst="rect">
          <a:avLst/>
        </a:prstGeom>
      </xdr:spPr>
    </xdr:pic>
    <xdr:clientData/>
  </xdr:twoCellAnchor>
  <xdr:twoCellAnchor>
    <xdr:from>
      <xdr:col>2</xdr:col>
      <xdr:colOff>112059</xdr:colOff>
      <xdr:row>189</xdr:row>
      <xdr:rowOff>78442</xdr:rowOff>
    </xdr:from>
    <xdr:to>
      <xdr:col>2</xdr:col>
      <xdr:colOff>967207</xdr:colOff>
      <xdr:row>189</xdr:row>
      <xdr:rowOff>1119789</xdr:rowOff>
    </xdr:to>
    <xdr:pic>
      <xdr:nvPicPr>
        <xdr:cNvPr id="56" name="Imagen 55">
          <a:extLst>
            <a:ext uri="{FF2B5EF4-FFF2-40B4-BE49-F238E27FC236}">
              <a16:creationId xmlns:a16="http://schemas.microsoft.com/office/drawing/2014/main" id="{297B9A7E-DD89-4B15-92D3-D33ECA03159E}"/>
            </a:ext>
          </a:extLst>
        </xdr:cNvPr>
        <xdr:cNvPicPr>
          <a:picLocks noChangeAspect="1"/>
        </xdr:cNvPicPr>
      </xdr:nvPicPr>
      <xdr:blipFill>
        <a:blip xmlns:r="http://schemas.openxmlformats.org/officeDocument/2006/relationships" r:embed="rId10"/>
        <a:stretch>
          <a:fillRect/>
        </a:stretch>
      </xdr:blipFill>
      <xdr:spPr>
        <a:xfrm>
          <a:off x="829235" y="116081736"/>
          <a:ext cx="855148" cy="1041347"/>
        </a:xfrm>
        <a:prstGeom prst="rect">
          <a:avLst/>
        </a:prstGeom>
      </xdr:spPr>
    </xdr:pic>
    <xdr:clientData/>
  </xdr:twoCellAnchor>
  <xdr:twoCellAnchor>
    <xdr:from>
      <xdr:col>2</xdr:col>
      <xdr:colOff>302559</xdr:colOff>
      <xdr:row>29</xdr:row>
      <xdr:rowOff>89646</xdr:rowOff>
    </xdr:from>
    <xdr:to>
      <xdr:col>2</xdr:col>
      <xdr:colOff>862853</xdr:colOff>
      <xdr:row>29</xdr:row>
      <xdr:rowOff>968448</xdr:rowOff>
    </xdr:to>
    <xdr:pic>
      <xdr:nvPicPr>
        <xdr:cNvPr id="33" name="Imagen 32">
          <a:extLst>
            <a:ext uri="{FF2B5EF4-FFF2-40B4-BE49-F238E27FC236}">
              <a16:creationId xmlns:a16="http://schemas.microsoft.com/office/drawing/2014/main" id="{CC17F793-83D5-1FD2-A5A1-CC1BA41348E6}"/>
            </a:ext>
          </a:extLst>
        </xdr:cNvPr>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1019735" y="14534028"/>
          <a:ext cx="560294" cy="8788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228248</xdr:colOff>
      <xdr:row>114</xdr:row>
      <xdr:rowOff>257734</xdr:rowOff>
    </xdr:from>
    <xdr:to>
      <xdr:col>2</xdr:col>
      <xdr:colOff>862852</xdr:colOff>
      <xdr:row>114</xdr:row>
      <xdr:rowOff>1181067</xdr:rowOff>
    </xdr:to>
    <xdr:pic>
      <xdr:nvPicPr>
        <xdr:cNvPr id="20" name="Imagen 19">
          <a:extLst>
            <a:ext uri="{FF2B5EF4-FFF2-40B4-BE49-F238E27FC236}">
              <a16:creationId xmlns:a16="http://schemas.microsoft.com/office/drawing/2014/main" id="{75BA085B-ECB7-4B84-9791-C8558DBC788E}"/>
            </a:ext>
          </a:extLst>
        </xdr:cNvPr>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val="0"/>
            </a:ext>
          </a:extLst>
        </a:blip>
        <a:srcRect/>
        <a:stretch>
          <a:fillRect/>
        </a:stretch>
      </xdr:blipFill>
      <xdr:spPr bwMode="auto">
        <a:xfrm>
          <a:off x="945424" y="67683528"/>
          <a:ext cx="634604" cy="9233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212913</xdr:colOff>
      <xdr:row>116</xdr:row>
      <xdr:rowOff>123265</xdr:rowOff>
    </xdr:from>
    <xdr:to>
      <xdr:col>2</xdr:col>
      <xdr:colOff>896471</xdr:colOff>
      <xdr:row>116</xdr:row>
      <xdr:rowOff>1116779</xdr:rowOff>
    </xdr:to>
    <xdr:pic>
      <xdr:nvPicPr>
        <xdr:cNvPr id="50" name="Imagen 49">
          <a:extLst>
            <a:ext uri="{FF2B5EF4-FFF2-40B4-BE49-F238E27FC236}">
              <a16:creationId xmlns:a16="http://schemas.microsoft.com/office/drawing/2014/main" id="{20F47005-8497-4E61-A0B9-D31AEBC0B2F3}"/>
            </a:ext>
          </a:extLst>
        </xdr:cNvPr>
        <xdr:cNvPicPr>
          <a:picLocks noChangeAspect="1" noChangeArrowheads="1"/>
        </xdr:cNvPicPr>
      </xdr:nvPicPr>
      <xdr:blipFill>
        <a:blip xmlns:r="http://schemas.openxmlformats.org/officeDocument/2006/relationships" r:embed="rId66" cstate="print">
          <a:extLst>
            <a:ext uri="{28A0092B-C50C-407E-A947-70E740481C1C}">
              <a14:useLocalDpi xmlns:a14="http://schemas.microsoft.com/office/drawing/2010/main" val="0"/>
            </a:ext>
          </a:extLst>
        </a:blip>
        <a:srcRect/>
        <a:stretch>
          <a:fillRect/>
        </a:stretch>
      </xdr:blipFill>
      <xdr:spPr bwMode="auto">
        <a:xfrm>
          <a:off x="930089" y="70193647"/>
          <a:ext cx="683558" cy="9935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235323</xdr:colOff>
      <xdr:row>115</xdr:row>
      <xdr:rowOff>72540</xdr:rowOff>
    </xdr:from>
    <xdr:to>
      <xdr:col>2</xdr:col>
      <xdr:colOff>885264</xdr:colOff>
      <xdr:row>115</xdr:row>
      <xdr:rowOff>1092277</xdr:rowOff>
    </xdr:to>
    <xdr:pic>
      <xdr:nvPicPr>
        <xdr:cNvPr id="53" name="Imagen 52">
          <a:extLst>
            <a:ext uri="{FF2B5EF4-FFF2-40B4-BE49-F238E27FC236}">
              <a16:creationId xmlns:a16="http://schemas.microsoft.com/office/drawing/2014/main" id="{519530C4-90AC-4C85-9032-71F4877067ED}"/>
            </a:ext>
          </a:extLst>
        </xdr:cNvPr>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952499" y="68899069"/>
          <a:ext cx="649941" cy="10197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212912</xdr:colOff>
      <xdr:row>117</xdr:row>
      <xdr:rowOff>201706</xdr:rowOff>
    </xdr:from>
    <xdr:to>
      <xdr:col>2</xdr:col>
      <xdr:colOff>874059</xdr:colOff>
      <xdr:row>117</xdr:row>
      <xdr:rowOff>1221442</xdr:rowOff>
    </xdr:to>
    <xdr:pic>
      <xdr:nvPicPr>
        <xdr:cNvPr id="55" name="Imagen 54">
          <a:extLst>
            <a:ext uri="{FF2B5EF4-FFF2-40B4-BE49-F238E27FC236}">
              <a16:creationId xmlns:a16="http://schemas.microsoft.com/office/drawing/2014/main" id="{E90099F1-76E7-4649-9561-7DDC0E323E1D}"/>
            </a:ext>
          </a:extLst>
        </xdr:cNvPr>
        <xdr:cNvPicPr>
          <a:picLocks noChangeAspect="1" noChangeArrowheads="1"/>
        </xdr:cNvPicPr>
      </xdr:nvPicPr>
      <xdr:blipFill>
        <a:blip xmlns:r="http://schemas.openxmlformats.org/officeDocument/2006/relationships" r:embed="rId68" cstate="print">
          <a:extLst>
            <a:ext uri="{28A0092B-C50C-407E-A947-70E740481C1C}">
              <a14:useLocalDpi xmlns:a14="http://schemas.microsoft.com/office/drawing/2010/main" val="0"/>
            </a:ext>
          </a:extLst>
        </a:blip>
        <a:srcRect/>
        <a:stretch>
          <a:fillRect/>
        </a:stretch>
      </xdr:blipFill>
      <xdr:spPr bwMode="auto">
        <a:xfrm>
          <a:off x="930088" y="71504735"/>
          <a:ext cx="661147" cy="10197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145677</xdr:colOff>
      <xdr:row>9</xdr:row>
      <xdr:rowOff>100854</xdr:rowOff>
    </xdr:from>
    <xdr:to>
      <xdr:col>2</xdr:col>
      <xdr:colOff>951219</xdr:colOff>
      <xdr:row>9</xdr:row>
      <xdr:rowOff>1092200</xdr:rowOff>
    </xdr:to>
    <xdr:pic>
      <xdr:nvPicPr>
        <xdr:cNvPr id="24" name="Imagen 23">
          <a:extLst>
            <a:ext uri="{FF2B5EF4-FFF2-40B4-BE49-F238E27FC236}">
              <a16:creationId xmlns:a16="http://schemas.microsoft.com/office/drawing/2014/main" id="{0706FDAF-9A2B-4951-935A-0148751FD31F}"/>
            </a:ext>
          </a:extLst>
        </xdr:cNvPr>
        <xdr:cNvPicPr>
          <a:picLocks noChangeAspect="1"/>
        </xdr:cNvPicPr>
      </xdr:nvPicPr>
      <xdr:blipFill>
        <a:blip xmlns:r="http://schemas.openxmlformats.org/officeDocument/2006/relationships" r:embed="rId69"/>
        <a:stretch>
          <a:fillRect/>
        </a:stretch>
      </xdr:blipFill>
      <xdr:spPr>
        <a:xfrm>
          <a:off x="894977" y="2291604"/>
          <a:ext cx="805542" cy="991346"/>
        </a:xfrm>
        <a:prstGeom prst="rect">
          <a:avLst/>
        </a:prstGeom>
      </xdr:spPr>
    </xdr:pic>
    <xdr:clientData/>
  </xdr:twoCellAnchor>
  <xdr:twoCellAnchor>
    <xdr:from>
      <xdr:col>2</xdr:col>
      <xdr:colOff>134470</xdr:colOff>
      <xdr:row>10</xdr:row>
      <xdr:rowOff>100853</xdr:rowOff>
    </xdr:from>
    <xdr:to>
      <xdr:col>2</xdr:col>
      <xdr:colOff>956340</xdr:colOff>
      <xdr:row>10</xdr:row>
      <xdr:rowOff>1094173</xdr:rowOff>
    </xdr:to>
    <xdr:pic>
      <xdr:nvPicPr>
        <xdr:cNvPr id="74" name="Imagen 2">
          <a:extLst>
            <a:ext uri="{FF2B5EF4-FFF2-40B4-BE49-F238E27FC236}">
              <a16:creationId xmlns:a16="http://schemas.microsoft.com/office/drawing/2014/main" id="{09579A4C-60E9-4E49-817A-8E45AC0FE107}"/>
            </a:ext>
          </a:extLst>
        </xdr:cNvPr>
        <xdr:cNvPicPr>
          <a:picLocks noChangeAspect="1" noChangeArrowheads="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r="17649"/>
        <a:stretch/>
      </xdr:blipFill>
      <xdr:spPr bwMode="auto">
        <a:xfrm>
          <a:off x="851646" y="6196853"/>
          <a:ext cx="821870" cy="993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202827</xdr:colOff>
      <xdr:row>22</xdr:row>
      <xdr:rowOff>78440</xdr:rowOff>
    </xdr:from>
    <xdr:to>
      <xdr:col>2</xdr:col>
      <xdr:colOff>918883</xdr:colOff>
      <xdr:row>22</xdr:row>
      <xdr:rowOff>862852</xdr:rowOff>
    </xdr:to>
    <xdr:pic>
      <xdr:nvPicPr>
        <xdr:cNvPr id="77" name="Imagen 76">
          <a:extLst>
            <a:ext uri="{FF2B5EF4-FFF2-40B4-BE49-F238E27FC236}">
              <a16:creationId xmlns:a16="http://schemas.microsoft.com/office/drawing/2014/main" id="{0954D3EB-E0B6-4FC0-896F-28E59D0F4460}"/>
            </a:ext>
          </a:extLst>
        </xdr:cNvPr>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bwMode="auto">
        <a:xfrm>
          <a:off x="920003" y="13379822"/>
          <a:ext cx="716056" cy="7844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202827</xdr:colOff>
      <xdr:row>23</xdr:row>
      <xdr:rowOff>89646</xdr:rowOff>
    </xdr:from>
    <xdr:to>
      <xdr:col>2</xdr:col>
      <xdr:colOff>918883</xdr:colOff>
      <xdr:row>23</xdr:row>
      <xdr:rowOff>874058</xdr:rowOff>
    </xdr:to>
    <xdr:pic>
      <xdr:nvPicPr>
        <xdr:cNvPr id="85" name="Imagen 84">
          <a:extLst>
            <a:ext uri="{FF2B5EF4-FFF2-40B4-BE49-F238E27FC236}">
              <a16:creationId xmlns:a16="http://schemas.microsoft.com/office/drawing/2014/main" id="{7FC9CA86-0662-4A31-AE3E-CC84FBC8EF36}"/>
            </a:ext>
          </a:extLst>
        </xdr:cNvPr>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bwMode="auto">
        <a:xfrm>
          <a:off x="920003" y="9771528"/>
          <a:ext cx="716056" cy="7844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100854</xdr:colOff>
      <xdr:row>24</xdr:row>
      <xdr:rowOff>145677</xdr:rowOff>
    </xdr:from>
    <xdr:to>
      <xdr:col>2</xdr:col>
      <xdr:colOff>963708</xdr:colOff>
      <xdr:row>24</xdr:row>
      <xdr:rowOff>952651</xdr:rowOff>
    </xdr:to>
    <xdr:pic>
      <xdr:nvPicPr>
        <xdr:cNvPr id="89" name="Imagen 88">
          <a:extLst>
            <a:ext uri="{FF2B5EF4-FFF2-40B4-BE49-F238E27FC236}">
              <a16:creationId xmlns:a16="http://schemas.microsoft.com/office/drawing/2014/main" id="{19CB78A8-1685-43E1-B404-E8937A10FD99}"/>
            </a:ext>
          </a:extLst>
        </xdr:cNvPr>
        <xdr:cNvPicPr>
          <a:picLocks noChangeAspect="1"/>
        </xdr:cNvPicPr>
      </xdr:nvPicPr>
      <xdr:blipFill>
        <a:blip xmlns:r="http://schemas.openxmlformats.org/officeDocument/2006/relationships" r:embed="rId71"/>
        <a:stretch>
          <a:fillRect/>
        </a:stretch>
      </xdr:blipFill>
      <xdr:spPr>
        <a:xfrm>
          <a:off x="818030" y="10880912"/>
          <a:ext cx="862854" cy="806974"/>
        </a:xfrm>
        <a:prstGeom prst="rect">
          <a:avLst/>
        </a:prstGeom>
      </xdr:spPr>
    </xdr:pic>
    <xdr:clientData/>
  </xdr:twoCellAnchor>
  <xdr:twoCellAnchor>
    <xdr:from>
      <xdr:col>2</xdr:col>
      <xdr:colOff>100854</xdr:colOff>
      <xdr:row>25</xdr:row>
      <xdr:rowOff>145677</xdr:rowOff>
    </xdr:from>
    <xdr:to>
      <xdr:col>2</xdr:col>
      <xdr:colOff>963708</xdr:colOff>
      <xdr:row>25</xdr:row>
      <xdr:rowOff>952651</xdr:rowOff>
    </xdr:to>
    <xdr:pic>
      <xdr:nvPicPr>
        <xdr:cNvPr id="99" name="Imagen 98">
          <a:extLst>
            <a:ext uri="{FF2B5EF4-FFF2-40B4-BE49-F238E27FC236}">
              <a16:creationId xmlns:a16="http://schemas.microsoft.com/office/drawing/2014/main" id="{5E883CC6-4D8E-4A6C-AE16-AAD979AB7D5F}"/>
            </a:ext>
          </a:extLst>
        </xdr:cNvPr>
        <xdr:cNvPicPr>
          <a:picLocks noChangeAspect="1"/>
        </xdr:cNvPicPr>
      </xdr:nvPicPr>
      <xdr:blipFill>
        <a:blip xmlns:r="http://schemas.openxmlformats.org/officeDocument/2006/relationships" r:embed="rId71"/>
        <a:stretch>
          <a:fillRect/>
        </a:stretch>
      </xdr:blipFill>
      <xdr:spPr>
        <a:xfrm>
          <a:off x="818030" y="10880912"/>
          <a:ext cx="862854" cy="806974"/>
        </a:xfrm>
        <a:prstGeom prst="rect">
          <a:avLst/>
        </a:prstGeom>
      </xdr:spPr>
    </xdr:pic>
    <xdr:clientData/>
  </xdr:twoCellAnchor>
  <xdr:twoCellAnchor>
    <xdr:from>
      <xdr:col>2</xdr:col>
      <xdr:colOff>100854</xdr:colOff>
      <xdr:row>26</xdr:row>
      <xdr:rowOff>145677</xdr:rowOff>
    </xdr:from>
    <xdr:to>
      <xdr:col>2</xdr:col>
      <xdr:colOff>963708</xdr:colOff>
      <xdr:row>26</xdr:row>
      <xdr:rowOff>952651</xdr:rowOff>
    </xdr:to>
    <xdr:pic>
      <xdr:nvPicPr>
        <xdr:cNvPr id="103" name="Imagen 102">
          <a:extLst>
            <a:ext uri="{FF2B5EF4-FFF2-40B4-BE49-F238E27FC236}">
              <a16:creationId xmlns:a16="http://schemas.microsoft.com/office/drawing/2014/main" id="{1EAA0E7C-C2C5-4C53-BA34-32CA1EF59703}"/>
            </a:ext>
          </a:extLst>
        </xdr:cNvPr>
        <xdr:cNvPicPr>
          <a:picLocks noChangeAspect="1"/>
        </xdr:cNvPicPr>
      </xdr:nvPicPr>
      <xdr:blipFill>
        <a:blip xmlns:r="http://schemas.openxmlformats.org/officeDocument/2006/relationships" r:embed="rId71"/>
        <a:stretch>
          <a:fillRect/>
        </a:stretch>
      </xdr:blipFill>
      <xdr:spPr>
        <a:xfrm>
          <a:off x="818030" y="12046324"/>
          <a:ext cx="862854" cy="806974"/>
        </a:xfrm>
        <a:prstGeom prst="rect">
          <a:avLst/>
        </a:prstGeom>
      </xdr:spPr>
    </xdr:pic>
    <xdr:clientData/>
  </xdr:twoCellAnchor>
  <xdr:twoCellAnchor>
    <xdr:from>
      <xdr:col>2</xdr:col>
      <xdr:colOff>257734</xdr:colOff>
      <xdr:row>32</xdr:row>
      <xdr:rowOff>134470</xdr:rowOff>
    </xdr:from>
    <xdr:to>
      <xdr:col>2</xdr:col>
      <xdr:colOff>829236</xdr:colOff>
      <xdr:row>32</xdr:row>
      <xdr:rowOff>959402</xdr:rowOff>
    </xdr:to>
    <xdr:pic>
      <xdr:nvPicPr>
        <xdr:cNvPr id="111" name="Imagen 110">
          <a:extLst>
            <a:ext uri="{FF2B5EF4-FFF2-40B4-BE49-F238E27FC236}">
              <a16:creationId xmlns:a16="http://schemas.microsoft.com/office/drawing/2014/main" id="{C3ECD5B0-3054-7F74-82CE-2337C8EAFF99}"/>
            </a:ext>
          </a:extLst>
        </xdr:cNvPr>
        <xdr:cNvPicPr>
          <a:picLocks noChangeAspect="1" noChangeArrowheads="1"/>
        </xdr:cNvPicPr>
      </xdr:nvPicPr>
      <xdr:blipFill>
        <a:blip xmlns:r="http://schemas.openxmlformats.org/officeDocument/2006/relationships" r:embed="rId72" cstate="print">
          <a:extLst>
            <a:ext uri="{28A0092B-C50C-407E-A947-70E740481C1C}">
              <a14:useLocalDpi xmlns:a14="http://schemas.microsoft.com/office/drawing/2010/main" val="0"/>
            </a:ext>
          </a:extLst>
        </a:blip>
        <a:srcRect/>
        <a:stretch>
          <a:fillRect/>
        </a:stretch>
      </xdr:blipFill>
      <xdr:spPr bwMode="auto">
        <a:xfrm>
          <a:off x="974910" y="16024411"/>
          <a:ext cx="571502" cy="8249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264458</xdr:colOff>
      <xdr:row>34</xdr:row>
      <xdr:rowOff>129987</xdr:rowOff>
    </xdr:from>
    <xdr:to>
      <xdr:col>2</xdr:col>
      <xdr:colOff>835960</xdr:colOff>
      <xdr:row>34</xdr:row>
      <xdr:rowOff>954919</xdr:rowOff>
    </xdr:to>
    <xdr:pic>
      <xdr:nvPicPr>
        <xdr:cNvPr id="112" name="Imagen 111">
          <a:extLst>
            <a:ext uri="{FF2B5EF4-FFF2-40B4-BE49-F238E27FC236}">
              <a16:creationId xmlns:a16="http://schemas.microsoft.com/office/drawing/2014/main" id="{8B3956E3-C85B-43F2-B3B3-4F24D59DC225}"/>
            </a:ext>
          </a:extLst>
        </xdr:cNvPr>
        <xdr:cNvPicPr>
          <a:picLocks noChangeAspect="1" noChangeArrowheads="1"/>
        </xdr:cNvPicPr>
      </xdr:nvPicPr>
      <xdr:blipFill>
        <a:blip xmlns:r="http://schemas.openxmlformats.org/officeDocument/2006/relationships" r:embed="rId72" cstate="print">
          <a:extLst>
            <a:ext uri="{28A0092B-C50C-407E-A947-70E740481C1C}">
              <a14:useLocalDpi xmlns:a14="http://schemas.microsoft.com/office/drawing/2010/main" val="0"/>
            </a:ext>
          </a:extLst>
        </a:blip>
        <a:srcRect/>
        <a:stretch>
          <a:fillRect/>
        </a:stretch>
      </xdr:blipFill>
      <xdr:spPr bwMode="auto">
        <a:xfrm>
          <a:off x="981634" y="18149046"/>
          <a:ext cx="571502" cy="8249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268943</xdr:colOff>
      <xdr:row>33</xdr:row>
      <xdr:rowOff>145676</xdr:rowOff>
    </xdr:from>
    <xdr:to>
      <xdr:col>2</xdr:col>
      <xdr:colOff>832228</xdr:colOff>
      <xdr:row>33</xdr:row>
      <xdr:rowOff>994522</xdr:rowOff>
    </xdr:to>
    <xdr:pic>
      <xdr:nvPicPr>
        <xdr:cNvPr id="113" name="Imagen 112">
          <a:extLst>
            <a:ext uri="{FF2B5EF4-FFF2-40B4-BE49-F238E27FC236}">
              <a16:creationId xmlns:a16="http://schemas.microsoft.com/office/drawing/2014/main" id="{EB79C3E0-2F8C-CBA9-03A7-95F788BF97AD}"/>
            </a:ext>
          </a:extLst>
        </xdr:cNvPr>
        <xdr:cNvPicPr>
          <a:picLocks noChangeAspect="1" noChangeArrowheads="1"/>
        </xdr:cNvPicPr>
      </xdr:nvPicPr>
      <xdr:blipFill>
        <a:blip xmlns:r="http://schemas.openxmlformats.org/officeDocument/2006/relationships" r:embed="rId73" cstate="print">
          <a:extLst>
            <a:ext uri="{28A0092B-C50C-407E-A947-70E740481C1C}">
              <a14:useLocalDpi xmlns:a14="http://schemas.microsoft.com/office/drawing/2010/main" val="0"/>
            </a:ext>
          </a:extLst>
        </a:blip>
        <a:srcRect/>
        <a:stretch>
          <a:fillRect/>
        </a:stretch>
      </xdr:blipFill>
      <xdr:spPr bwMode="auto">
        <a:xfrm>
          <a:off x="986119" y="17111382"/>
          <a:ext cx="563285" cy="8488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280147</xdr:colOff>
      <xdr:row>35</xdr:row>
      <xdr:rowOff>112059</xdr:rowOff>
    </xdr:from>
    <xdr:to>
      <xdr:col>2</xdr:col>
      <xdr:colOff>843432</xdr:colOff>
      <xdr:row>35</xdr:row>
      <xdr:rowOff>960905</xdr:rowOff>
    </xdr:to>
    <xdr:pic>
      <xdr:nvPicPr>
        <xdr:cNvPr id="115" name="Imagen 114">
          <a:extLst>
            <a:ext uri="{FF2B5EF4-FFF2-40B4-BE49-F238E27FC236}">
              <a16:creationId xmlns:a16="http://schemas.microsoft.com/office/drawing/2014/main" id="{01149957-7F9F-475D-9C81-AC62442654EF}"/>
            </a:ext>
          </a:extLst>
        </xdr:cNvPr>
        <xdr:cNvPicPr>
          <a:picLocks noChangeAspect="1" noChangeArrowheads="1"/>
        </xdr:cNvPicPr>
      </xdr:nvPicPr>
      <xdr:blipFill>
        <a:blip xmlns:r="http://schemas.openxmlformats.org/officeDocument/2006/relationships" r:embed="rId73" cstate="print">
          <a:extLst>
            <a:ext uri="{28A0092B-C50C-407E-A947-70E740481C1C}">
              <a14:useLocalDpi xmlns:a14="http://schemas.microsoft.com/office/drawing/2010/main" val="0"/>
            </a:ext>
          </a:extLst>
        </a:blip>
        <a:srcRect/>
        <a:stretch>
          <a:fillRect/>
        </a:stretch>
      </xdr:blipFill>
      <xdr:spPr bwMode="auto">
        <a:xfrm>
          <a:off x="997323" y="19173265"/>
          <a:ext cx="563285" cy="8488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302559</xdr:colOff>
      <xdr:row>13</xdr:row>
      <xdr:rowOff>99171</xdr:rowOff>
    </xdr:from>
    <xdr:to>
      <xdr:col>2</xdr:col>
      <xdr:colOff>862853</xdr:colOff>
      <xdr:row>13</xdr:row>
      <xdr:rowOff>977973</xdr:rowOff>
    </xdr:to>
    <xdr:pic>
      <xdr:nvPicPr>
        <xdr:cNvPr id="72" name="Imagen 71">
          <a:extLst>
            <a:ext uri="{FF2B5EF4-FFF2-40B4-BE49-F238E27FC236}">
              <a16:creationId xmlns:a16="http://schemas.microsoft.com/office/drawing/2014/main" id="{74B730B4-BC6E-4C13-9AB1-4B66849546FC}"/>
            </a:ext>
          </a:extLst>
        </xdr:cNvPr>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1026459" y="8852646"/>
          <a:ext cx="560294" cy="8788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257734</xdr:colOff>
      <xdr:row>16</xdr:row>
      <xdr:rowOff>67795</xdr:rowOff>
    </xdr:from>
    <xdr:to>
      <xdr:col>2</xdr:col>
      <xdr:colOff>829236</xdr:colOff>
      <xdr:row>16</xdr:row>
      <xdr:rowOff>892727</xdr:rowOff>
    </xdr:to>
    <xdr:pic>
      <xdr:nvPicPr>
        <xdr:cNvPr id="75" name="Imagen 74">
          <a:extLst>
            <a:ext uri="{FF2B5EF4-FFF2-40B4-BE49-F238E27FC236}">
              <a16:creationId xmlns:a16="http://schemas.microsoft.com/office/drawing/2014/main" id="{E4DA278D-FE28-4243-9D42-468036CF8631}"/>
            </a:ext>
          </a:extLst>
        </xdr:cNvPr>
        <xdr:cNvPicPr>
          <a:picLocks noChangeAspect="1" noChangeArrowheads="1"/>
        </xdr:cNvPicPr>
      </xdr:nvPicPr>
      <xdr:blipFill>
        <a:blip xmlns:r="http://schemas.openxmlformats.org/officeDocument/2006/relationships" r:embed="rId72" cstate="print">
          <a:extLst>
            <a:ext uri="{28A0092B-C50C-407E-A947-70E740481C1C}">
              <a14:useLocalDpi xmlns:a14="http://schemas.microsoft.com/office/drawing/2010/main" val="0"/>
            </a:ext>
          </a:extLst>
        </a:blip>
        <a:srcRect/>
        <a:stretch>
          <a:fillRect/>
        </a:stretch>
      </xdr:blipFill>
      <xdr:spPr bwMode="auto">
        <a:xfrm>
          <a:off x="981634" y="10516720"/>
          <a:ext cx="571502" cy="8249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264458</xdr:colOff>
      <xdr:row>18</xdr:row>
      <xdr:rowOff>72837</xdr:rowOff>
    </xdr:from>
    <xdr:to>
      <xdr:col>2</xdr:col>
      <xdr:colOff>835960</xdr:colOff>
      <xdr:row>18</xdr:row>
      <xdr:rowOff>897769</xdr:rowOff>
    </xdr:to>
    <xdr:pic>
      <xdr:nvPicPr>
        <xdr:cNvPr id="87" name="Imagen 86">
          <a:extLst>
            <a:ext uri="{FF2B5EF4-FFF2-40B4-BE49-F238E27FC236}">
              <a16:creationId xmlns:a16="http://schemas.microsoft.com/office/drawing/2014/main" id="{4C7553F7-B30E-4C83-9260-58277B453DFE}"/>
            </a:ext>
          </a:extLst>
        </xdr:cNvPr>
        <xdr:cNvPicPr>
          <a:picLocks noChangeAspect="1" noChangeArrowheads="1"/>
        </xdr:cNvPicPr>
      </xdr:nvPicPr>
      <xdr:blipFill>
        <a:blip xmlns:r="http://schemas.openxmlformats.org/officeDocument/2006/relationships" r:embed="rId72" cstate="print">
          <a:extLst>
            <a:ext uri="{28A0092B-C50C-407E-A947-70E740481C1C}">
              <a14:useLocalDpi xmlns:a14="http://schemas.microsoft.com/office/drawing/2010/main" val="0"/>
            </a:ext>
          </a:extLst>
        </a:blip>
        <a:srcRect/>
        <a:stretch>
          <a:fillRect/>
        </a:stretch>
      </xdr:blipFill>
      <xdr:spPr bwMode="auto">
        <a:xfrm>
          <a:off x="988358" y="12417237"/>
          <a:ext cx="571502" cy="8249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268943</xdr:colOff>
      <xdr:row>17</xdr:row>
      <xdr:rowOff>59951</xdr:rowOff>
    </xdr:from>
    <xdr:to>
      <xdr:col>2</xdr:col>
      <xdr:colOff>832228</xdr:colOff>
      <xdr:row>17</xdr:row>
      <xdr:rowOff>908797</xdr:rowOff>
    </xdr:to>
    <xdr:pic>
      <xdr:nvPicPr>
        <xdr:cNvPr id="90" name="Imagen 89">
          <a:extLst>
            <a:ext uri="{FF2B5EF4-FFF2-40B4-BE49-F238E27FC236}">
              <a16:creationId xmlns:a16="http://schemas.microsoft.com/office/drawing/2014/main" id="{7974F471-02A3-49B9-80FC-76BCA0CD8DB2}"/>
            </a:ext>
          </a:extLst>
        </xdr:cNvPr>
        <xdr:cNvPicPr>
          <a:picLocks noChangeAspect="1" noChangeArrowheads="1"/>
        </xdr:cNvPicPr>
      </xdr:nvPicPr>
      <xdr:blipFill>
        <a:blip xmlns:r="http://schemas.openxmlformats.org/officeDocument/2006/relationships" r:embed="rId73" cstate="print">
          <a:extLst>
            <a:ext uri="{28A0092B-C50C-407E-A947-70E740481C1C}">
              <a14:useLocalDpi xmlns:a14="http://schemas.microsoft.com/office/drawing/2010/main" val="0"/>
            </a:ext>
          </a:extLst>
        </a:blip>
        <a:srcRect/>
        <a:stretch>
          <a:fillRect/>
        </a:stretch>
      </xdr:blipFill>
      <xdr:spPr bwMode="auto">
        <a:xfrm>
          <a:off x="992843" y="3898526"/>
          <a:ext cx="563285" cy="8488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280147</xdr:colOff>
      <xdr:row>19</xdr:row>
      <xdr:rowOff>64434</xdr:rowOff>
    </xdr:from>
    <xdr:to>
      <xdr:col>2</xdr:col>
      <xdr:colOff>843432</xdr:colOff>
      <xdr:row>19</xdr:row>
      <xdr:rowOff>913280</xdr:rowOff>
    </xdr:to>
    <xdr:pic>
      <xdr:nvPicPr>
        <xdr:cNvPr id="91" name="Imagen 90">
          <a:extLst>
            <a:ext uri="{FF2B5EF4-FFF2-40B4-BE49-F238E27FC236}">
              <a16:creationId xmlns:a16="http://schemas.microsoft.com/office/drawing/2014/main" id="{3DA349F8-BF78-40D0-B5A2-B43AF04269A5}"/>
            </a:ext>
          </a:extLst>
        </xdr:cNvPr>
        <xdr:cNvPicPr>
          <a:picLocks noChangeAspect="1" noChangeArrowheads="1"/>
        </xdr:cNvPicPr>
      </xdr:nvPicPr>
      <xdr:blipFill>
        <a:blip xmlns:r="http://schemas.openxmlformats.org/officeDocument/2006/relationships" r:embed="rId73" cstate="print">
          <a:extLst>
            <a:ext uri="{28A0092B-C50C-407E-A947-70E740481C1C}">
              <a14:useLocalDpi xmlns:a14="http://schemas.microsoft.com/office/drawing/2010/main" val="0"/>
            </a:ext>
          </a:extLst>
        </a:blip>
        <a:srcRect/>
        <a:stretch>
          <a:fillRect/>
        </a:stretch>
      </xdr:blipFill>
      <xdr:spPr bwMode="auto">
        <a:xfrm>
          <a:off x="1004047" y="13370859"/>
          <a:ext cx="563285" cy="8488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200026</xdr:colOff>
      <xdr:row>143</xdr:row>
      <xdr:rowOff>38100</xdr:rowOff>
    </xdr:from>
    <xdr:to>
      <xdr:col>2</xdr:col>
      <xdr:colOff>998969</xdr:colOff>
      <xdr:row>143</xdr:row>
      <xdr:rowOff>561975</xdr:rowOff>
    </xdr:to>
    <xdr:pic>
      <xdr:nvPicPr>
        <xdr:cNvPr id="57" name="Imagen 56">
          <a:extLst>
            <a:ext uri="{FF2B5EF4-FFF2-40B4-BE49-F238E27FC236}">
              <a16:creationId xmlns:a16="http://schemas.microsoft.com/office/drawing/2014/main" id="{8D96157E-3D98-5D71-0B93-9EC040A0333A}"/>
            </a:ext>
          </a:extLst>
        </xdr:cNvPr>
        <xdr:cNvPicPr>
          <a:picLocks noChangeAspect="1"/>
        </xdr:cNvPicPr>
      </xdr:nvPicPr>
      <xdr:blipFill>
        <a:blip xmlns:r="http://schemas.openxmlformats.org/officeDocument/2006/relationships" r:embed="rId74"/>
        <a:stretch>
          <a:fillRect/>
        </a:stretch>
      </xdr:blipFill>
      <xdr:spPr>
        <a:xfrm>
          <a:off x="923926" y="96621600"/>
          <a:ext cx="798943" cy="523875"/>
        </a:xfrm>
        <a:prstGeom prst="rect">
          <a:avLst/>
        </a:prstGeom>
      </xdr:spPr>
    </xdr:pic>
    <xdr:clientData/>
  </xdr:twoCellAnchor>
  <xdr:twoCellAnchor>
    <xdr:from>
      <xdr:col>2</xdr:col>
      <xdr:colOff>200025</xdr:colOff>
      <xdr:row>221</xdr:row>
      <xdr:rowOff>38101</xdr:rowOff>
    </xdr:from>
    <xdr:to>
      <xdr:col>2</xdr:col>
      <xdr:colOff>1045796</xdr:colOff>
      <xdr:row>221</xdr:row>
      <xdr:rowOff>685801</xdr:rowOff>
    </xdr:to>
    <xdr:pic>
      <xdr:nvPicPr>
        <xdr:cNvPr id="64" name="Imagen 63">
          <a:extLst>
            <a:ext uri="{FF2B5EF4-FFF2-40B4-BE49-F238E27FC236}">
              <a16:creationId xmlns:a16="http://schemas.microsoft.com/office/drawing/2014/main" id="{68EA849D-CE9B-48F9-A832-CE086FEAAF74}"/>
            </a:ext>
          </a:extLst>
        </xdr:cNvPr>
        <xdr:cNvPicPr>
          <a:picLocks noChangeAspect="1" noChangeArrowheads="1"/>
        </xdr:cNvPicPr>
      </xdr:nvPicPr>
      <xdr:blipFill>
        <a:blip xmlns:r="http://schemas.openxmlformats.org/officeDocument/2006/relationships" r:embed="rId75" cstate="print">
          <a:extLst>
            <a:ext uri="{28A0092B-C50C-407E-A947-70E740481C1C}">
              <a14:useLocalDpi xmlns:a14="http://schemas.microsoft.com/office/drawing/2010/main" val="0"/>
            </a:ext>
          </a:extLst>
        </a:blip>
        <a:srcRect/>
        <a:stretch>
          <a:fillRect/>
        </a:stretch>
      </xdr:blipFill>
      <xdr:spPr bwMode="auto">
        <a:xfrm>
          <a:off x="923925" y="144179926"/>
          <a:ext cx="845771"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200025</xdr:colOff>
      <xdr:row>226</xdr:row>
      <xdr:rowOff>85725</xdr:rowOff>
    </xdr:from>
    <xdr:to>
      <xdr:col>2</xdr:col>
      <xdr:colOff>1047750</xdr:colOff>
      <xdr:row>226</xdr:row>
      <xdr:rowOff>790575</xdr:rowOff>
    </xdr:to>
    <xdr:pic>
      <xdr:nvPicPr>
        <xdr:cNvPr id="69" name="Imagen 68">
          <a:extLst>
            <a:ext uri="{FF2B5EF4-FFF2-40B4-BE49-F238E27FC236}">
              <a16:creationId xmlns:a16="http://schemas.microsoft.com/office/drawing/2014/main" id="{C5B7FC6D-F1B4-46E0-8E40-7C1565D2AA26}"/>
            </a:ext>
          </a:extLst>
        </xdr:cNvPr>
        <xdr:cNvPicPr>
          <a:picLocks noChangeAspect="1" noChangeArrowheads="1"/>
        </xdr:cNvPicPr>
      </xdr:nvPicPr>
      <xdr:blipFill>
        <a:blip xmlns:r="http://schemas.openxmlformats.org/officeDocument/2006/relationships" r:embed="rId76" cstate="print">
          <a:extLst>
            <a:ext uri="{28A0092B-C50C-407E-A947-70E740481C1C}">
              <a14:useLocalDpi xmlns:a14="http://schemas.microsoft.com/office/drawing/2010/main" val="0"/>
            </a:ext>
          </a:extLst>
        </a:blip>
        <a:srcRect/>
        <a:stretch>
          <a:fillRect/>
        </a:stretch>
      </xdr:blipFill>
      <xdr:spPr bwMode="auto">
        <a:xfrm>
          <a:off x="923925" y="146608800"/>
          <a:ext cx="847725" cy="704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66676</xdr:colOff>
      <xdr:row>1</xdr:row>
      <xdr:rowOff>42361</xdr:rowOff>
    </xdr:from>
    <xdr:to>
      <xdr:col>2</xdr:col>
      <xdr:colOff>180503</xdr:colOff>
      <xdr:row>1</xdr:row>
      <xdr:rowOff>684619</xdr:rowOff>
    </xdr:to>
    <xdr:pic>
      <xdr:nvPicPr>
        <xdr:cNvPr id="2" name="Imagen 20">
          <a:extLst>
            <a:ext uri="{FF2B5EF4-FFF2-40B4-BE49-F238E27FC236}">
              <a16:creationId xmlns:a16="http://schemas.microsoft.com/office/drawing/2014/main" id="{7E7EFB7C-11E9-465B-85A4-9266701807B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8626" y="270961"/>
          <a:ext cx="586066" cy="642258"/>
        </a:xfrm>
        <a:prstGeom prst="rect">
          <a:avLst/>
        </a:prstGeom>
      </xdr:spPr>
    </xdr:pic>
    <xdr:clientData/>
  </xdr:twoCellAnchor>
  <xdr:twoCellAnchor>
    <xdr:from>
      <xdr:col>2</xdr:col>
      <xdr:colOff>133351</xdr:colOff>
      <xdr:row>39</xdr:row>
      <xdr:rowOff>106136</xdr:rowOff>
    </xdr:from>
    <xdr:to>
      <xdr:col>2</xdr:col>
      <xdr:colOff>994749</xdr:colOff>
      <xdr:row>39</xdr:row>
      <xdr:rowOff>925285</xdr:rowOff>
    </xdr:to>
    <xdr:pic>
      <xdr:nvPicPr>
        <xdr:cNvPr id="4" name="Imagen 10">
          <a:extLst>
            <a:ext uri="{FF2B5EF4-FFF2-40B4-BE49-F238E27FC236}">
              <a16:creationId xmlns:a16="http://schemas.microsoft.com/office/drawing/2014/main" id="{278B660C-AA4D-438C-BFEE-2D853B9ECE66}"/>
            </a:ext>
          </a:extLst>
        </xdr:cNvPr>
        <xdr:cNvPicPr>
          <a:picLocks noChangeAspect="1"/>
        </xdr:cNvPicPr>
      </xdr:nvPicPr>
      <xdr:blipFill>
        <a:blip xmlns:r="http://schemas.openxmlformats.org/officeDocument/2006/relationships" r:embed="rId2"/>
        <a:stretch>
          <a:fillRect/>
        </a:stretch>
      </xdr:blipFill>
      <xdr:spPr>
        <a:xfrm>
          <a:off x="873580" y="15890422"/>
          <a:ext cx="861398" cy="819149"/>
        </a:xfrm>
        <a:prstGeom prst="rect">
          <a:avLst/>
        </a:prstGeom>
      </xdr:spPr>
    </xdr:pic>
    <xdr:clientData/>
  </xdr:twoCellAnchor>
  <xdr:twoCellAnchor>
    <xdr:from>
      <xdr:col>2</xdr:col>
      <xdr:colOff>136071</xdr:colOff>
      <xdr:row>57</xdr:row>
      <xdr:rowOff>163286</xdr:rowOff>
    </xdr:from>
    <xdr:to>
      <xdr:col>2</xdr:col>
      <xdr:colOff>908009</xdr:colOff>
      <xdr:row>57</xdr:row>
      <xdr:rowOff>1186614</xdr:rowOff>
    </xdr:to>
    <xdr:pic>
      <xdr:nvPicPr>
        <xdr:cNvPr id="5" name="Imagen 12">
          <a:extLst>
            <a:ext uri="{FF2B5EF4-FFF2-40B4-BE49-F238E27FC236}">
              <a16:creationId xmlns:a16="http://schemas.microsoft.com/office/drawing/2014/main" id="{433D836B-E660-49E8-9CA3-8DB25F5D3041}"/>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rightnessContrast bright="44000"/>
                  </a14:imgEffect>
                </a14:imgLayer>
              </a14:imgProps>
            </a:ext>
          </a:extLst>
        </a:blip>
        <a:stretch>
          <a:fillRect/>
        </a:stretch>
      </xdr:blipFill>
      <xdr:spPr>
        <a:xfrm>
          <a:off x="870857" y="5578929"/>
          <a:ext cx="771938" cy="1023328"/>
        </a:xfrm>
        <a:prstGeom prst="rect">
          <a:avLst/>
        </a:prstGeom>
      </xdr:spPr>
    </xdr:pic>
    <xdr:clientData/>
  </xdr:twoCellAnchor>
  <xdr:twoCellAnchor>
    <xdr:from>
      <xdr:col>2</xdr:col>
      <xdr:colOff>163286</xdr:colOff>
      <xdr:row>85</xdr:row>
      <xdr:rowOff>81644</xdr:rowOff>
    </xdr:from>
    <xdr:to>
      <xdr:col>2</xdr:col>
      <xdr:colOff>922358</xdr:colOff>
      <xdr:row>85</xdr:row>
      <xdr:rowOff>1061358</xdr:rowOff>
    </xdr:to>
    <xdr:pic>
      <xdr:nvPicPr>
        <xdr:cNvPr id="7" name="Imagen 14">
          <a:extLst>
            <a:ext uri="{FF2B5EF4-FFF2-40B4-BE49-F238E27FC236}">
              <a16:creationId xmlns:a16="http://schemas.microsoft.com/office/drawing/2014/main" id="{E51FCA2B-0B48-4576-9078-6DEA8EE45E4D}"/>
            </a:ext>
          </a:extLst>
        </xdr:cNvPr>
        <xdr:cNvPicPr>
          <a:picLocks noChangeAspect="1"/>
        </xdr:cNvPicPr>
      </xdr:nvPicPr>
      <xdr:blipFill>
        <a:blip xmlns:r="http://schemas.openxmlformats.org/officeDocument/2006/relationships" r:embed="rId5"/>
        <a:stretch>
          <a:fillRect/>
        </a:stretch>
      </xdr:blipFill>
      <xdr:spPr>
        <a:xfrm>
          <a:off x="887186" y="35933744"/>
          <a:ext cx="759072" cy="979714"/>
        </a:xfrm>
        <a:prstGeom prst="rect">
          <a:avLst/>
        </a:prstGeom>
      </xdr:spPr>
    </xdr:pic>
    <xdr:clientData/>
  </xdr:twoCellAnchor>
  <xdr:twoCellAnchor>
    <xdr:from>
      <xdr:col>2</xdr:col>
      <xdr:colOff>54427</xdr:colOff>
      <xdr:row>177</xdr:row>
      <xdr:rowOff>149678</xdr:rowOff>
    </xdr:from>
    <xdr:to>
      <xdr:col>2</xdr:col>
      <xdr:colOff>1020535</xdr:colOff>
      <xdr:row>182</xdr:row>
      <xdr:rowOff>353784</xdr:rowOff>
    </xdr:to>
    <xdr:pic>
      <xdr:nvPicPr>
        <xdr:cNvPr id="10" name="Imagen 27">
          <a:extLst>
            <a:ext uri="{FF2B5EF4-FFF2-40B4-BE49-F238E27FC236}">
              <a16:creationId xmlns:a16="http://schemas.microsoft.com/office/drawing/2014/main" id="{54E99153-20AA-4497-A768-E74B3D2BFDB9}"/>
            </a:ext>
          </a:extLst>
        </xdr:cNvPr>
        <xdr:cNvPicPr>
          <a:picLocks noChangeAspect="1"/>
        </xdr:cNvPicPr>
      </xdr:nvPicPr>
      <xdr:blipFill>
        <a:blip xmlns:r="http://schemas.openxmlformats.org/officeDocument/2006/relationships" r:embed="rId6"/>
        <a:stretch>
          <a:fillRect/>
        </a:stretch>
      </xdr:blipFill>
      <xdr:spPr>
        <a:xfrm>
          <a:off x="778327" y="62500328"/>
          <a:ext cx="966108" cy="2356756"/>
        </a:xfrm>
        <a:prstGeom prst="rect">
          <a:avLst/>
        </a:prstGeom>
      </xdr:spPr>
    </xdr:pic>
    <xdr:clientData/>
  </xdr:twoCellAnchor>
  <xdr:twoCellAnchor>
    <xdr:from>
      <xdr:col>2</xdr:col>
      <xdr:colOff>149679</xdr:colOff>
      <xdr:row>213</xdr:row>
      <xdr:rowOff>244928</xdr:rowOff>
    </xdr:from>
    <xdr:to>
      <xdr:col>2</xdr:col>
      <xdr:colOff>941443</xdr:colOff>
      <xdr:row>213</xdr:row>
      <xdr:rowOff>775607</xdr:rowOff>
    </xdr:to>
    <xdr:pic>
      <xdr:nvPicPr>
        <xdr:cNvPr id="14" name="Imagen 36">
          <a:extLst>
            <a:ext uri="{FF2B5EF4-FFF2-40B4-BE49-F238E27FC236}">
              <a16:creationId xmlns:a16="http://schemas.microsoft.com/office/drawing/2014/main" id="{DA77A06A-9C0B-4DD3-93BB-03A4B194E649}"/>
            </a:ext>
          </a:extLst>
        </xdr:cNvPr>
        <xdr:cNvPicPr>
          <a:picLocks noChangeAspect="1"/>
        </xdr:cNvPicPr>
      </xdr:nvPicPr>
      <xdr:blipFill>
        <a:blip xmlns:r="http://schemas.openxmlformats.org/officeDocument/2006/relationships" r:embed="rId7"/>
        <a:stretch>
          <a:fillRect/>
        </a:stretch>
      </xdr:blipFill>
      <xdr:spPr>
        <a:xfrm>
          <a:off x="873579" y="78064178"/>
          <a:ext cx="791764" cy="530679"/>
        </a:xfrm>
        <a:prstGeom prst="rect">
          <a:avLst/>
        </a:prstGeom>
      </xdr:spPr>
    </xdr:pic>
    <xdr:clientData/>
  </xdr:twoCellAnchor>
  <xdr:twoCellAnchor>
    <xdr:from>
      <xdr:col>2</xdr:col>
      <xdr:colOff>139907</xdr:colOff>
      <xdr:row>231</xdr:row>
      <xdr:rowOff>81643</xdr:rowOff>
    </xdr:from>
    <xdr:to>
      <xdr:col>2</xdr:col>
      <xdr:colOff>950595</xdr:colOff>
      <xdr:row>231</xdr:row>
      <xdr:rowOff>976360</xdr:rowOff>
    </xdr:to>
    <xdr:pic>
      <xdr:nvPicPr>
        <xdr:cNvPr id="18" name="Imagen 43">
          <a:extLst>
            <a:ext uri="{FF2B5EF4-FFF2-40B4-BE49-F238E27FC236}">
              <a16:creationId xmlns:a16="http://schemas.microsoft.com/office/drawing/2014/main" id="{A38D54DC-4C2B-440F-BDED-71E5FE6956AA}"/>
            </a:ext>
          </a:extLst>
        </xdr:cNvPr>
        <xdr:cNvPicPr>
          <a:picLocks noChangeAspect="1"/>
        </xdr:cNvPicPr>
      </xdr:nvPicPr>
      <xdr:blipFill>
        <a:blip xmlns:r="http://schemas.openxmlformats.org/officeDocument/2006/relationships" r:embed="rId8"/>
        <a:stretch>
          <a:fillRect/>
        </a:stretch>
      </xdr:blipFill>
      <xdr:spPr>
        <a:xfrm>
          <a:off x="863807" y="86397193"/>
          <a:ext cx="810688" cy="894717"/>
        </a:xfrm>
        <a:prstGeom prst="rect">
          <a:avLst/>
        </a:prstGeom>
      </xdr:spPr>
    </xdr:pic>
    <xdr:clientData/>
  </xdr:twoCellAnchor>
  <xdr:twoCellAnchor>
    <xdr:from>
      <xdr:col>2</xdr:col>
      <xdr:colOff>54429</xdr:colOff>
      <xdr:row>58</xdr:row>
      <xdr:rowOff>40821</xdr:rowOff>
    </xdr:from>
    <xdr:to>
      <xdr:col>2</xdr:col>
      <xdr:colOff>1020535</xdr:colOff>
      <xdr:row>58</xdr:row>
      <xdr:rowOff>612321</xdr:rowOff>
    </xdr:to>
    <xdr:pic>
      <xdr:nvPicPr>
        <xdr:cNvPr id="27" name="Imagen 50">
          <a:extLst>
            <a:ext uri="{FF2B5EF4-FFF2-40B4-BE49-F238E27FC236}">
              <a16:creationId xmlns:a16="http://schemas.microsoft.com/office/drawing/2014/main" id="{385BB6F0-7033-41C6-9F98-D896DAE2FF16}"/>
            </a:ext>
          </a:extLst>
        </xdr:cNvPr>
        <xdr:cNvPicPr>
          <a:picLocks noChangeAspect="1"/>
        </xdr:cNvPicPr>
      </xdr:nvPicPr>
      <xdr:blipFill>
        <a:blip xmlns:r="http://schemas.openxmlformats.org/officeDocument/2006/relationships" r:embed="rId9"/>
        <a:stretch>
          <a:fillRect/>
        </a:stretch>
      </xdr:blipFill>
      <xdr:spPr>
        <a:xfrm>
          <a:off x="778329" y="20805321"/>
          <a:ext cx="966106" cy="571500"/>
        </a:xfrm>
        <a:prstGeom prst="rect">
          <a:avLst/>
        </a:prstGeom>
      </xdr:spPr>
    </xdr:pic>
    <xdr:clientData/>
  </xdr:twoCellAnchor>
  <xdr:twoCellAnchor>
    <xdr:from>
      <xdr:col>2</xdr:col>
      <xdr:colOff>244926</xdr:colOff>
      <xdr:row>69</xdr:row>
      <xdr:rowOff>244929</xdr:rowOff>
    </xdr:from>
    <xdr:to>
      <xdr:col>2</xdr:col>
      <xdr:colOff>845001</xdr:colOff>
      <xdr:row>69</xdr:row>
      <xdr:rowOff>816428</xdr:rowOff>
    </xdr:to>
    <xdr:pic>
      <xdr:nvPicPr>
        <xdr:cNvPr id="28" name="Imagen 53">
          <a:extLst>
            <a:ext uri="{FF2B5EF4-FFF2-40B4-BE49-F238E27FC236}">
              <a16:creationId xmlns:a16="http://schemas.microsoft.com/office/drawing/2014/main" id="{55691667-44BC-4FF3-BE18-FC71043DC556}"/>
            </a:ext>
          </a:extLst>
        </xdr:cNvPr>
        <xdr:cNvPicPr>
          <a:picLocks noChangeAspect="1"/>
        </xdr:cNvPicPr>
      </xdr:nvPicPr>
      <xdr:blipFill>
        <a:blip xmlns:r="http://schemas.openxmlformats.org/officeDocument/2006/relationships" r:embed="rId10"/>
        <a:stretch>
          <a:fillRect/>
        </a:stretch>
      </xdr:blipFill>
      <xdr:spPr>
        <a:xfrm>
          <a:off x="968826" y="28010304"/>
          <a:ext cx="600075" cy="571499"/>
        </a:xfrm>
        <a:prstGeom prst="rect">
          <a:avLst/>
        </a:prstGeom>
      </xdr:spPr>
    </xdr:pic>
    <xdr:clientData/>
  </xdr:twoCellAnchor>
  <xdr:twoCellAnchor>
    <xdr:from>
      <xdr:col>2</xdr:col>
      <xdr:colOff>149679</xdr:colOff>
      <xdr:row>61</xdr:row>
      <xdr:rowOff>68036</xdr:rowOff>
    </xdr:from>
    <xdr:to>
      <xdr:col>2</xdr:col>
      <xdr:colOff>979714</xdr:colOff>
      <xdr:row>61</xdr:row>
      <xdr:rowOff>830312</xdr:rowOff>
    </xdr:to>
    <xdr:pic>
      <xdr:nvPicPr>
        <xdr:cNvPr id="32" name="Imagen 57">
          <a:extLst>
            <a:ext uri="{FF2B5EF4-FFF2-40B4-BE49-F238E27FC236}">
              <a16:creationId xmlns:a16="http://schemas.microsoft.com/office/drawing/2014/main" id="{ED4AF81A-978D-4963-859C-BEA409C27580}"/>
            </a:ext>
          </a:extLst>
        </xdr:cNvPr>
        <xdr:cNvPicPr>
          <a:picLocks noChangeAspect="1"/>
        </xdr:cNvPicPr>
      </xdr:nvPicPr>
      <xdr:blipFill>
        <a:blip xmlns:r="http://schemas.openxmlformats.org/officeDocument/2006/relationships" r:embed="rId11"/>
        <a:stretch>
          <a:fillRect/>
        </a:stretch>
      </xdr:blipFill>
      <xdr:spPr>
        <a:xfrm>
          <a:off x="873579" y="21985061"/>
          <a:ext cx="830035" cy="762276"/>
        </a:xfrm>
        <a:prstGeom prst="rect">
          <a:avLst/>
        </a:prstGeom>
      </xdr:spPr>
    </xdr:pic>
    <xdr:clientData/>
  </xdr:twoCellAnchor>
  <xdr:twoCellAnchor>
    <xdr:from>
      <xdr:col>2</xdr:col>
      <xdr:colOff>204107</xdr:colOff>
      <xdr:row>62</xdr:row>
      <xdr:rowOff>248859</xdr:rowOff>
    </xdr:from>
    <xdr:to>
      <xdr:col>2</xdr:col>
      <xdr:colOff>993321</xdr:colOff>
      <xdr:row>62</xdr:row>
      <xdr:rowOff>1020536</xdr:rowOff>
    </xdr:to>
    <xdr:pic>
      <xdr:nvPicPr>
        <xdr:cNvPr id="33" name="Imagen 58">
          <a:extLst>
            <a:ext uri="{FF2B5EF4-FFF2-40B4-BE49-F238E27FC236}">
              <a16:creationId xmlns:a16="http://schemas.microsoft.com/office/drawing/2014/main" id="{4B7B4AA4-A6D5-4712-9FAA-49D386156302}"/>
            </a:ext>
          </a:extLst>
        </xdr:cNvPr>
        <xdr:cNvPicPr>
          <a:picLocks noChangeAspect="1"/>
        </xdr:cNvPicPr>
      </xdr:nvPicPr>
      <xdr:blipFill>
        <a:blip xmlns:r="http://schemas.openxmlformats.org/officeDocument/2006/relationships" r:embed="rId12"/>
        <a:stretch>
          <a:fillRect/>
        </a:stretch>
      </xdr:blipFill>
      <xdr:spPr>
        <a:xfrm>
          <a:off x="928007" y="23146959"/>
          <a:ext cx="789214" cy="771677"/>
        </a:xfrm>
        <a:prstGeom prst="rect">
          <a:avLst/>
        </a:prstGeom>
      </xdr:spPr>
    </xdr:pic>
    <xdr:clientData/>
  </xdr:twoCellAnchor>
  <xdr:twoCellAnchor>
    <xdr:from>
      <xdr:col>2</xdr:col>
      <xdr:colOff>81643</xdr:colOff>
      <xdr:row>63</xdr:row>
      <xdr:rowOff>340177</xdr:rowOff>
    </xdr:from>
    <xdr:to>
      <xdr:col>3</xdr:col>
      <xdr:colOff>27214</xdr:colOff>
      <xdr:row>63</xdr:row>
      <xdr:rowOff>1006928</xdr:rowOff>
    </xdr:to>
    <xdr:pic>
      <xdr:nvPicPr>
        <xdr:cNvPr id="34" name="Imagen 59">
          <a:extLst>
            <a:ext uri="{FF2B5EF4-FFF2-40B4-BE49-F238E27FC236}">
              <a16:creationId xmlns:a16="http://schemas.microsoft.com/office/drawing/2014/main" id="{6406D759-9529-42A8-B92B-39E0A2EAEAF4}"/>
            </a:ext>
          </a:extLst>
        </xdr:cNvPr>
        <xdr:cNvPicPr>
          <a:picLocks noChangeAspect="1"/>
        </xdr:cNvPicPr>
      </xdr:nvPicPr>
      <xdr:blipFill>
        <a:blip xmlns:r="http://schemas.openxmlformats.org/officeDocument/2006/relationships" r:embed="rId13"/>
        <a:stretch>
          <a:fillRect/>
        </a:stretch>
      </xdr:blipFill>
      <xdr:spPr>
        <a:xfrm>
          <a:off x="805543" y="24333652"/>
          <a:ext cx="983796" cy="666751"/>
        </a:xfrm>
        <a:prstGeom prst="rect">
          <a:avLst/>
        </a:prstGeom>
      </xdr:spPr>
    </xdr:pic>
    <xdr:clientData/>
  </xdr:twoCellAnchor>
  <xdr:twoCellAnchor>
    <xdr:from>
      <xdr:col>2</xdr:col>
      <xdr:colOff>101296</xdr:colOff>
      <xdr:row>64</xdr:row>
      <xdr:rowOff>308429</xdr:rowOff>
    </xdr:from>
    <xdr:to>
      <xdr:col>2</xdr:col>
      <xdr:colOff>908897</xdr:colOff>
      <xdr:row>64</xdr:row>
      <xdr:rowOff>952501</xdr:rowOff>
    </xdr:to>
    <xdr:pic>
      <xdr:nvPicPr>
        <xdr:cNvPr id="35" name="Imagen 60">
          <a:extLst>
            <a:ext uri="{FF2B5EF4-FFF2-40B4-BE49-F238E27FC236}">
              <a16:creationId xmlns:a16="http://schemas.microsoft.com/office/drawing/2014/main" id="{ED2CC3CC-3642-4647-80D3-41D280AFC7DF}"/>
            </a:ext>
          </a:extLst>
        </xdr:cNvPr>
        <xdr:cNvPicPr>
          <a:picLocks noChangeAspect="1"/>
        </xdr:cNvPicPr>
      </xdr:nvPicPr>
      <xdr:blipFill>
        <a:blip xmlns:r="http://schemas.openxmlformats.org/officeDocument/2006/relationships" r:embed="rId14"/>
        <a:stretch>
          <a:fillRect/>
        </a:stretch>
      </xdr:blipFill>
      <xdr:spPr>
        <a:xfrm>
          <a:off x="820963" y="28999846"/>
          <a:ext cx="807601" cy="644072"/>
        </a:xfrm>
        <a:prstGeom prst="rect">
          <a:avLst/>
        </a:prstGeom>
      </xdr:spPr>
    </xdr:pic>
    <xdr:clientData/>
  </xdr:twoCellAnchor>
  <xdr:twoCellAnchor>
    <xdr:from>
      <xdr:col>2</xdr:col>
      <xdr:colOff>108857</xdr:colOff>
      <xdr:row>65</xdr:row>
      <xdr:rowOff>40821</xdr:rowOff>
    </xdr:from>
    <xdr:to>
      <xdr:col>3</xdr:col>
      <xdr:colOff>27214</xdr:colOff>
      <xdr:row>65</xdr:row>
      <xdr:rowOff>810928</xdr:rowOff>
    </xdr:to>
    <xdr:pic>
      <xdr:nvPicPr>
        <xdr:cNvPr id="36" name="Imagen 61">
          <a:extLst>
            <a:ext uri="{FF2B5EF4-FFF2-40B4-BE49-F238E27FC236}">
              <a16:creationId xmlns:a16="http://schemas.microsoft.com/office/drawing/2014/main" id="{1829185C-1DA1-4969-B607-30354D88E2B1}"/>
            </a:ext>
          </a:extLst>
        </xdr:cNvPr>
        <xdr:cNvPicPr>
          <a:picLocks noChangeAspect="1"/>
        </xdr:cNvPicPr>
      </xdr:nvPicPr>
      <xdr:blipFill>
        <a:blip xmlns:r="http://schemas.openxmlformats.org/officeDocument/2006/relationships" r:embed="rId15"/>
        <a:stretch>
          <a:fillRect/>
        </a:stretch>
      </xdr:blipFill>
      <xdr:spPr>
        <a:xfrm>
          <a:off x="832757" y="26282196"/>
          <a:ext cx="956582" cy="770107"/>
        </a:xfrm>
        <a:prstGeom prst="rect">
          <a:avLst/>
        </a:prstGeom>
      </xdr:spPr>
    </xdr:pic>
    <xdr:clientData/>
  </xdr:twoCellAnchor>
  <xdr:twoCellAnchor>
    <xdr:from>
      <xdr:col>2</xdr:col>
      <xdr:colOff>149679</xdr:colOff>
      <xdr:row>83</xdr:row>
      <xdr:rowOff>68036</xdr:rowOff>
    </xdr:from>
    <xdr:to>
      <xdr:col>2</xdr:col>
      <xdr:colOff>908751</xdr:colOff>
      <xdr:row>83</xdr:row>
      <xdr:rowOff>1047750</xdr:rowOff>
    </xdr:to>
    <xdr:pic>
      <xdr:nvPicPr>
        <xdr:cNvPr id="37" name="Imagen 64">
          <a:extLst>
            <a:ext uri="{FF2B5EF4-FFF2-40B4-BE49-F238E27FC236}">
              <a16:creationId xmlns:a16="http://schemas.microsoft.com/office/drawing/2014/main" id="{15F042C8-01F6-4333-84B3-5494E00ED2DC}"/>
            </a:ext>
          </a:extLst>
        </xdr:cNvPr>
        <xdr:cNvPicPr>
          <a:picLocks noChangeAspect="1"/>
        </xdr:cNvPicPr>
      </xdr:nvPicPr>
      <xdr:blipFill>
        <a:blip xmlns:r="http://schemas.openxmlformats.org/officeDocument/2006/relationships" r:embed="rId5"/>
        <a:stretch>
          <a:fillRect/>
        </a:stretch>
      </xdr:blipFill>
      <xdr:spPr>
        <a:xfrm>
          <a:off x="873579" y="33557936"/>
          <a:ext cx="759072" cy="979714"/>
        </a:xfrm>
        <a:prstGeom prst="rect">
          <a:avLst/>
        </a:prstGeom>
      </xdr:spPr>
    </xdr:pic>
    <xdr:clientData/>
  </xdr:twoCellAnchor>
  <xdr:twoCellAnchor>
    <xdr:from>
      <xdr:col>2</xdr:col>
      <xdr:colOff>136072</xdr:colOff>
      <xdr:row>82</xdr:row>
      <xdr:rowOff>95250</xdr:rowOff>
    </xdr:from>
    <xdr:to>
      <xdr:col>2</xdr:col>
      <xdr:colOff>895144</xdr:colOff>
      <xdr:row>82</xdr:row>
      <xdr:rowOff>1074964</xdr:rowOff>
    </xdr:to>
    <xdr:pic>
      <xdr:nvPicPr>
        <xdr:cNvPr id="38" name="Imagen 65">
          <a:extLst>
            <a:ext uri="{FF2B5EF4-FFF2-40B4-BE49-F238E27FC236}">
              <a16:creationId xmlns:a16="http://schemas.microsoft.com/office/drawing/2014/main" id="{288FB6AA-E442-4A34-8D32-830FFA0CF16A}"/>
            </a:ext>
          </a:extLst>
        </xdr:cNvPr>
        <xdr:cNvPicPr>
          <a:picLocks noChangeAspect="1"/>
        </xdr:cNvPicPr>
      </xdr:nvPicPr>
      <xdr:blipFill>
        <a:blip xmlns:r="http://schemas.openxmlformats.org/officeDocument/2006/relationships" r:embed="rId5"/>
        <a:stretch>
          <a:fillRect/>
        </a:stretch>
      </xdr:blipFill>
      <xdr:spPr>
        <a:xfrm>
          <a:off x="859972" y="32442150"/>
          <a:ext cx="759072" cy="979714"/>
        </a:xfrm>
        <a:prstGeom prst="rect">
          <a:avLst/>
        </a:prstGeom>
      </xdr:spPr>
    </xdr:pic>
    <xdr:clientData/>
  </xdr:twoCellAnchor>
  <xdr:twoCellAnchor>
    <xdr:from>
      <xdr:col>2</xdr:col>
      <xdr:colOff>163286</xdr:colOff>
      <xdr:row>84</xdr:row>
      <xdr:rowOff>81642</xdr:rowOff>
    </xdr:from>
    <xdr:to>
      <xdr:col>2</xdr:col>
      <xdr:colOff>922358</xdr:colOff>
      <xdr:row>84</xdr:row>
      <xdr:rowOff>1061356</xdr:rowOff>
    </xdr:to>
    <xdr:pic>
      <xdr:nvPicPr>
        <xdr:cNvPr id="39" name="Imagen 67">
          <a:extLst>
            <a:ext uri="{FF2B5EF4-FFF2-40B4-BE49-F238E27FC236}">
              <a16:creationId xmlns:a16="http://schemas.microsoft.com/office/drawing/2014/main" id="{32523DB0-C9F1-4511-9A22-D7B6B281D672}"/>
            </a:ext>
          </a:extLst>
        </xdr:cNvPr>
        <xdr:cNvPicPr>
          <a:picLocks noChangeAspect="1"/>
        </xdr:cNvPicPr>
      </xdr:nvPicPr>
      <xdr:blipFill>
        <a:blip xmlns:r="http://schemas.openxmlformats.org/officeDocument/2006/relationships" r:embed="rId5"/>
        <a:stretch>
          <a:fillRect/>
        </a:stretch>
      </xdr:blipFill>
      <xdr:spPr>
        <a:xfrm>
          <a:off x="887186" y="34771692"/>
          <a:ext cx="759072" cy="979714"/>
        </a:xfrm>
        <a:prstGeom prst="rect">
          <a:avLst/>
        </a:prstGeom>
      </xdr:spPr>
    </xdr:pic>
    <xdr:clientData/>
  </xdr:twoCellAnchor>
  <xdr:twoCellAnchor>
    <xdr:from>
      <xdr:col>2</xdr:col>
      <xdr:colOff>54428</xdr:colOff>
      <xdr:row>194</xdr:row>
      <xdr:rowOff>108856</xdr:rowOff>
    </xdr:from>
    <xdr:to>
      <xdr:col>3</xdr:col>
      <xdr:colOff>13607</xdr:colOff>
      <xdr:row>194</xdr:row>
      <xdr:rowOff>857249</xdr:rowOff>
    </xdr:to>
    <xdr:pic>
      <xdr:nvPicPr>
        <xdr:cNvPr id="40" name="Imagen 62">
          <a:extLst>
            <a:ext uri="{FF2B5EF4-FFF2-40B4-BE49-F238E27FC236}">
              <a16:creationId xmlns:a16="http://schemas.microsoft.com/office/drawing/2014/main" id="{0B29DD76-EEEF-4D52-B337-D19B5AAE5D66}"/>
            </a:ext>
          </a:extLst>
        </xdr:cNvPr>
        <xdr:cNvPicPr>
          <a:picLocks noChangeAspect="1"/>
        </xdr:cNvPicPr>
      </xdr:nvPicPr>
      <xdr:blipFill>
        <a:blip xmlns:r="http://schemas.openxmlformats.org/officeDocument/2006/relationships" r:embed="rId16"/>
        <a:stretch>
          <a:fillRect/>
        </a:stretch>
      </xdr:blipFill>
      <xdr:spPr>
        <a:xfrm>
          <a:off x="778328" y="69650881"/>
          <a:ext cx="997404" cy="748393"/>
        </a:xfrm>
        <a:prstGeom prst="rect">
          <a:avLst/>
        </a:prstGeom>
      </xdr:spPr>
    </xdr:pic>
    <xdr:clientData/>
  </xdr:twoCellAnchor>
  <xdr:twoCellAnchor>
    <xdr:from>
      <xdr:col>2</xdr:col>
      <xdr:colOff>40821</xdr:colOff>
      <xdr:row>201</xdr:row>
      <xdr:rowOff>272143</xdr:rowOff>
    </xdr:from>
    <xdr:to>
      <xdr:col>3</xdr:col>
      <xdr:colOff>-1</xdr:colOff>
      <xdr:row>202</xdr:row>
      <xdr:rowOff>1</xdr:rowOff>
    </xdr:to>
    <xdr:pic>
      <xdr:nvPicPr>
        <xdr:cNvPr id="41" name="Imagen 11263">
          <a:extLst>
            <a:ext uri="{FF2B5EF4-FFF2-40B4-BE49-F238E27FC236}">
              <a16:creationId xmlns:a16="http://schemas.microsoft.com/office/drawing/2014/main" id="{FCF3963A-0474-4BC8-A7C3-24F9FD975369}"/>
            </a:ext>
          </a:extLst>
        </xdr:cNvPr>
        <xdr:cNvPicPr>
          <a:picLocks noChangeAspect="1"/>
        </xdr:cNvPicPr>
      </xdr:nvPicPr>
      <xdr:blipFill>
        <a:blip xmlns:r="http://schemas.openxmlformats.org/officeDocument/2006/relationships" r:embed="rId17"/>
        <a:stretch>
          <a:fillRect/>
        </a:stretch>
      </xdr:blipFill>
      <xdr:spPr>
        <a:xfrm>
          <a:off x="764721" y="72147793"/>
          <a:ext cx="997403" cy="1461408"/>
        </a:xfrm>
        <a:prstGeom prst="rect">
          <a:avLst/>
        </a:prstGeom>
      </xdr:spPr>
    </xdr:pic>
    <xdr:clientData/>
  </xdr:twoCellAnchor>
  <xdr:twoCellAnchor>
    <xdr:from>
      <xdr:col>2</xdr:col>
      <xdr:colOff>108855</xdr:colOff>
      <xdr:row>232</xdr:row>
      <xdr:rowOff>40821</xdr:rowOff>
    </xdr:from>
    <xdr:to>
      <xdr:col>2</xdr:col>
      <xdr:colOff>993320</xdr:colOff>
      <xdr:row>233</xdr:row>
      <xdr:rowOff>32482</xdr:rowOff>
    </xdr:to>
    <xdr:pic>
      <xdr:nvPicPr>
        <xdr:cNvPr id="42" name="Imagen 11264">
          <a:extLst>
            <a:ext uri="{FF2B5EF4-FFF2-40B4-BE49-F238E27FC236}">
              <a16:creationId xmlns:a16="http://schemas.microsoft.com/office/drawing/2014/main" id="{A0617648-665D-4136-A64C-9C31017C5DB0}"/>
            </a:ext>
          </a:extLst>
        </xdr:cNvPr>
        <xdr:cNvPicPr>
          <a:picLocks noChangeAspect="1"/>
        </xdr:cNvPicPr>
      </xdr:nvPicPr>
      <xdr:blipFill>
        <a:blip xmlns:r="http://schemas.openxmlformats.org/officeDocument/2006/relationships" r:embed="rId18"/>
        <a:stretch>
          <a:fillRect/>
        </a:stretch>
      </xdr:blipFill>
      <xdr:spPr>
        <a:xfrm>
          <a:off x="832755" y="87508896"/>
          <a:ext cx="884465" cy="1001311"/>
        </a:xfrm>
        <a:prstGeom prst="rect">
          <a:avLst/>
        </a:prstGeom>
      </xdr:spPr>
    </xdr:pic>
    <xdr:clientData/>
  </xdr:twoCellAnchor>
  <xdr:twoCellAnchor>
    <xdr:from>
      <xdr:col>2</xdr:col>
      <xdr:colOff>204108</xdr:colOff>
      <xdr:row>88</xdr:row>
      <xdr:rowOff>81643</xdr:rowOff>
    </xdr:from>
    <xdr:to>
      <xdr:col>2</xdr:col>
      <xdr:colOff>936420</xdr:colOff>
      <xdr:row>88</xdr:row>
      <xdr:rowOff>1006928</xdr:rowOff>
    </xdr:to>
    <xdr:pic>
      <xdr:nvPicPr>
        <xdr:cNvPr id="43" name="Picture 42">
          <a:extLst>
            <a:ext uri="{FF2B5EF4-FFF2-40B4-BE49-F238E27FC236}">
              <a16:creationId xmlns:a16="http://schemas.microsoft.com/office/drawing/2014/main" id="{519FB300-4A36-6324-34D7-F15A4599C1D0}"/>
            </a:ext>
          </a:extLst>
        </xdr:cNvPr>
        <xdr:cNvPicPr>
          <a:picLocks noChangeAspect="1"/>
        </xdr:cNvPicPr>
      </xdr:nvPicPr>
      <xdr:blipFill>
        <a:blip xmlns:r="http://schemas.openxmlformats.org/officeDocument/2006/relationships" r:embed="rId19"/>
        <a:stretch>
          <a:fillRect/>
        </a:stretch>
      </xdr:blipFill>
      <xdr:spPr>
        <a:xfrm>
          <a:off x="923775" y="41123810"/>
          <a:ext cx="732312" cy="925285"/>
        </a:xfrm>
        <a:prstGeom prst="rect">
          <a:avLst/>
        </a:prstGeom>
      </xdr:spPr>
    </xdr:pic>
    <xdr:clientData/>
  </xdr:twoCellAnchor>
  <xdr:twoCellAnchor>
    <xdr:from>
      <xdr:col>2</xdr:col>
      <xdr:colOff>195035</xdr:colOff>
      <xdr:row>90</xdr:row>
      <xdr:rowOff>68036</xdr:rowOff>
    </xdr:from>
    <xdr:to>
      <xdr:col>2</xdr:col>
      <xdr:colOff>927347</xdr:colOff>
      <xdr:row>90</xdr:row>
      <xdr:rowOff>993321</xdr:rowOff>
    </xdr:to>
    <xdr:pic>
      <xdr:nvPicPr>
        <xdr:cNvPr id="45" name="Picture 44">
          <a:extLst>
            <a:ext uri="{FF2B5EF4-FFF2-40B4-BE49-F238E27FC236}">
              <a16:creationId xmlns:a16="http://schemas.microsoft.com/office/drawing/2014/main" id="{A163EEDB-87D1-4A72-BDB6-39D9AADF1035}"/>
            </a:ext>
          </a:extLst>
        </xdr:cNvPr>
        <xdr:cNvPicPr>
          <a:picLocks noChangeAspect="1"/>
        </xdr:cNvPicPr>
      </xdr:nvPicPr>
      <xdr:blipFill>
        <a:blip xmlns:r="http://schemas.openxmlformats.org/officeDocument/2006/relationships" r:embed="rId19"/>
        <a:stretch>
          <a:fillRect/>
        </a:stretch>
      </xdr:blipFill>
      <xdr:spPr>
        <a:xfrm>
          <a:off x="914702" y="43967703"/>
          <a:ext cx="732312" cy="925285"/>
        </a:xfrm>
        <a:prstGeom prst="rect">
          <a:avLst/>
        </a:prstGeom>
      </xdr:spPr>
    </xdr:pic>
    <xdr:clientData/>
  </xdr:twoCellAnchor>
  <xdr:twoCellAnchor>
    <xdr:from>
      <xdr:col>2</xdr:col>
      <xdr:colOff>136071</xdr:colOff>
      <xdr:row>89</xdr:row>
      <xdr:rowOff>54429</xdr:rowOff>
    </xdr:from>
    <xdr:to>
      <xdr:col>2</xdr:col>
      <xdr:colOff>939670</xdr:colOff>
      <xdr:row>89</xdr:row>
      <xdr:rowOff>993322</xdr:rowOff>
    </xdr:to>
    <xdr:pic>
      <xdr:nvPicPr>
        <xdr:cNvPr id="52" name="Picture 51">
          <a:extLst>
            <a:ext uri="{FF2B5EF4-FFF2-40B4-BE49-F238E27FC236}">
              <a16:creationId xmlns:a16="http://schemas.microsoft.com/office/drawing/2014/main" id="{6BEF063B-54A4-4AFF-8142-AFF708925628}"/>
            </a:ext>
          </a:extLst>
        </xdr:cNvPr>
        <xdr:cNvPicPr>
          <a:picLocks noChangeAspect="1"/>
        </xdr:cNvPicPr>
      </xdr:nvPicPr>
      <xdr:blipFill>
        <a:blip xmlns:r="http://schemas.openxmlformats.org/officeDocument/2006/relationships" r:embed="rId20"/>
        <a:stretch>
          <a:fillRect/>
        </a:stretch>
      </xdr:blipFill>
      <xdr:spPr>
        <a:xfrm>
          <a:off x="870857" y="11225893"/>
          <a:ext cx="803599" cy="938893"/>
        </a:xfrm>
        <a:prstGeom prst="rect">
          <a:avLst/>
        </a:prstGeom>
      </xdr:spPr>
    </xdr:pic>
    <xdr:clientData/>
  </xdr:twoCellAnchor>
  <xdr:twoCellAnchor>
    <xdr:from>
      <xdr:col>2</xdr:col>
      <xdr:colOff>155727</xdr:colOff>
      <xdr:row>91</xdr:row>
      <xdr:rowOff>54428</xdr:rowOff>
    </xdr:from>
    <xdr:to>
      <xdr:col>2</xdr:col>
      <xdr:colOff>959326</xdr:colOff>
      <xdr:row>91</xdr:row>
      <xdr:rowOff>993321</xdr:rowOff>
    </xdr:to>
    <xdr:pic>
      <xdr:nvPicPr>
        <xdr:cNvPr id="54" name="Picture 53">
          <a:extLst>
            <a:ext uri="{FF2B5EF4-FFF2-40B4-BE49-F238E27FC236}">
              <a16:creationId xmlns:a16="http://schemas.microsoft.com/office/drawing/2014/main" id="{975979A1-8D7E-4C3B-A032-DE31E06EC118}"/>
            </a:ext>
          </a:extLst>
        </xdr:cNvPr>
        <xdr:cNvPicPr>
          <a:picLocks noChangeAspect="1"/>
        </xdr:cNvPicPr>
      </xdr:nvPicPr>
      <xdr:blipFill>
        <a:blip xmlns:r="http://schemas.openxmlformats.org/officeDocument/2006/relationships" r:embed="rId20"/>
        <a:stretch>
          <a:fillRect/>
        </a:stretch>
      </xdr:blipFill>
      <xdr:spPr>
        <a:xfrm>
          <a:off x="875394" y="44991261"/>
          <a:ext cx="803599" cy="938893"/>
        </a:xfrm>
        <a:prstGeom prst="rect">
          <a:avLst/>
        </a:prstGeom>
      </xdr:spPr>
    </xdr:pic>
    <xdr:clientData/>
  </xdr:twoCellAnchor>
  <xdr:twoCellAnchor>
    <xdr:from>
      <xdr:col>2</xdr:col>
      <xdr:colOff>116415</xdr:colOff>
      <xdr:row>124</xdr:row>
      <xdr:rowOff>31751</xdr:rowOff>
    </xdr:from>
    <xdr:to>
      <xdr:col>2</xdr:col>
      <xdr:colOff>931332</xdr:colOff>
      <xdr:row>124</xdr:row>
      <xdr:rowOff>867833</xdr:rowOff>
    </xdr:to>
    <xdr:pic>
      <xdr:nvPicPr>
        <xdr:cNvPr id="47" name="Imagen 46">
          <a:extLst>
            <a:ext uri="{FF2B5EF4-FFF2-40B4-BE49-F238E27FC236}">
              <a16:creationId xmlns:a16="http://schemas.microsoft.com/office/drawing/2014/main" id="{6AA36216-8673-44A1-E55A-45390C1A5E26}"/>
            </a:ext>
          </a:extLst>
        </xdr:cNvPr>
        <xdr:cNvPicPr>
          <a:picLocks noChangeAspect="1"/>
        </xdr:cNvPicPr>
      </xdr:nvPicPr>
      <xdr:blipFill rotWithShape="1">
        <a:blip xmlns:r="http://schemas.openxmlformats.org/officeDocument/2006/relationships" r:embed="rId21"/>
        <a:srcRect l="9289" r="5848"/>
        <a:stretch/>
      </xdr:blipFill>
      <xdr:spPr>
        <a:xfrm>
          <a:off x="836082" y="48418751"/>
          <a:ext cx="814917" cy="836082"/>
        </a:xfrm>
        <a:prstGeom prst="rect">
          <a:avLst/>
        </a:prstGeom>
      </xdr:spPr>
    </xdr:pic>
    <xdr:clientData/>
  </xdr:twoCellAnchor>
  <xdr:twoCellAnchor>
    <xdr:from>
      <xdr:col>2</xdr:col>
      <xdr:colOff>149679</xdr:colOff>
      <xdr:row>132</xdr:row>
      <xdr:rowOff>40821</xdr:rowOff>
    </xdr:from>
    <xdr:to>
      <xdr:col>2</xdr:col>
      <xdr:colOff>857250</xdr:colOff>
      <xdr:row>132</xdr:row>
      <xdr:rowOff>916861</xdr:rowOff>
    </xdr:to>
    <xdr:pic>
      <xdr:nvPicPr>
        <xdr:cNvPr id="48" name="Imagen 47">
          <a:extLst>
            <a:ext uri="{FF2B5EF4-FFF2-40B4-BE49-F238E27FC236}">
              <a16:creationId xmlns:a16="http://schemas.microsoft.com/office/drawing/2014/main" id="{C7403035-A48E-3C39-648B-A51B936163B1}"/>
            </a:ext>
          </a:extLst>
        </xdr:cNvPr>
        <xdr:cNvPicPr>
          <a:picLocks noChangeAspect="1"/>
        </xdr:cNvPicPr>
      </xdr:nvPicPr>
      <xdr:blipFill>
        <a:blip xmlns:r="http://schemas.openxmlformats.org/officeDocument/2006/relationships" r:embed="rId22"/>
        <a:stretch>
          <a:fillRect/>
        </a:stretch>
      </xdr:blipFill>
      <xdr:spPr>
        <a:xfrm>
          <a:off x="884465" y="48373392"/>
          <a:ext cx="707571" cy="876040"/>
        </a:xfrm>
        <a:prstGeom prst="rect">
          <a:avLst/>
        </a:prstGeom>
      </xdr:spPr>
    </xdr:pic>
    <xdr:clientData/>
  </xdr:twoCellAnchor>
  <xdr:twoCellAnchor>
    <xdr:from>
      <xdr:col>2</xdr:col>
      <xdr:colOff>244929</xdr:colOff>
      <xdr:row>136</xdr:row>
      <xdr:rowOff>122464</xdr:rowOff>
    </xdr:from>
    <xdr:to>
      <xdr:col>2</xdr:col>
      <xdr:colOff>835405</xdr:colOff>
      <xdr:row>137</xdr:row>
      <xdr:rowOff>17571</xdr:rowOff>
    </xdr:to>
    <xdr:pic>
      <xdr:nvPicPr>
        <xdr:cNvPr id="60" name="Imagen 59">
          <a:extLst>
            <a:ext uri="{FF2B5EF4-FFF2-40B4-BE49-F238E27FC236}">
              <a16:creationId xmlns:a16="http://schemas.microsoft.com/office/drawing/2014/main" id="{104D8014-C22F-0012-95AC-2D8D60F933D4}"/>
            </a:ext>
          </a:extLst>
        </xdr:cNvPr>
        <xdr:cNvPicPr>
          <a:picLocks noChangeAspect="1"/>
        </xdr:cNvPicPr>
      </xdr:nvPicPr>
      <xdr:blipFill>
        <a:blip xmlns:r="http://schemas.openxmlformats.org/officeDocument/2006/relationships" r:embed="rId23"/>
        <a:stretch>
          <a:fillRect/>
        </a:stretch>
      </xdr:blipFill>
      <xdr:spPr>
        <a:xfrm>
          <a:off x="979715" y="50877107"/>
          <a:ext cx="590476" cy="942857"/>
        </a:xfrm>
        <a:prstGeom prst="rect">
          <a:avLst/>
        </a:prstGeom>
      </xdr:spPr>
    </xdr:pic>
    <xdr:clientData/>
  </xdr:twoCellAnchor>
  <xdr:twoCellAnchor>
    <xdr:from>
      <xdr:col>2</xdr:col>
      <xdr:colOff>231321</xdr:colOff>
      <xdr:row>137</xdr:row>
      <xdr:rowOff>27214</xdr:rowOff>
    </xdr:from>
    <xdr:to>
      <xdr:col>2</xdr:col>
      <xdr:colOff>857249</xdr:colOff>
      <xdr:row>138</xdr:row>
      <xdr:rowOff>17571</xdr:rowOff>
    </xdr:to>
    <xdr:pic>
      <xdr:nvPicPr>
        <xdr:cNvPr id="61" name="Imagen 60">
          <a:extLst>
            <a:ext uri="{FF2B5EF4-FFF2-40B4-BE49-F238E27FC236}">
              <a16:creationId xmlns:a16="http://schemas.microsoft.com/office/drawing/2014/main" id="{D016CF62-FA1D-4DBC-948B-2126E803EE07}"/>
            </a:ext>
          </a:extLst>
        </xdr:cNvPr>
        <xdr:cNvPicPr>
          <a:picLocks noChangeAspect="1"/>
        </xdr:cNvPicPr>
      </xdr:nvPicPr>
      <xdr:blipFill>
        <a:blip xmlns:r="http://schemas.openxmlformats.org/officeDocument/2006/relationships" r:embed="rId23"/>
        <a:stretch>
          <a:fillRect/>
        </a:stretch>
      </xdr:blipFill>
      <xdr:spPr>
        <a:xfrm>
          <a:off x="966107" y="51829607"/>
          <a:ext cx="625928" cy="942857"/>
        </a:xfrm>
        <a:prstGeom prst="rect">
          <a:avLst/>
        </a:prstGeom>
      </xdr:spPr>
    </xdr:pic>
    <xdr:clientData/>
  </xdr:twoCellAnchor>
  <xdr:twoCellAnchor>
    <xdr:from>
      <xdr:col>2</xdr:col>
      <xdr:colOff>231321</xdr:colOff>
      <xdr:row>138</xdr:row>
      <xdr:rowOff>27214</xdr:rowOff>
    </xdr:from>
    <xdr:to>
      <xdr:col>2</xdr:col>
      <xdr:colOff>884463</xdr:colOff>
      <xdr:row>139</xdr:row>
      <xdr:rowOff>104027</xdr:rowOff>
    </xdr:to>
    <xdr:pic>
      <xdr:nvPicPr>
        <xdr:cNvPr id="62" name="Imagen 61">
          <a:extLst>
            <a:ext uri="{FF2B5EF4-FFF2-40B4-BE49-F238E27FC236}">
              <a16:creationId xmlns:a16="http://schemas.microsoft.com/office/drawing/2014/main" id="{63AECDBF-F5B8-4671-BC9C-2D4FB0DB7E8F}"/>
            </a:ext>
          </a:extLst>
        </xdr:cNvPr>
        <xdr:cNvPicPr>
          <a:picLocks noChangeAspect="1"/>
        </xdr:cNvPicPr>
      </xdr:nvPicPr>
      <xdr:blipFill>
        <a:blip xmlns:r="http://schemas.openxmlformats.org/officeDocument/2006/relationships" r:embed="rId23"/>
        <a:stretch>
          <a:fillRect/>
        </a:stretch>
      </xdr:blipFill>
      <xdr:spPr>
        <a:xfrm>
          <a:off x="966107" y="52782107"/>
          <a:ext cx="653142" cy="1042920"/>
        </a:xfrm>
        <a:prstGeom prst="rect">
          <a:avLst/>
        </a:prstGeom>
      </xdr:spPr>
    </xdr:pic>
    <xdr:clientData/>
  </xdr:twoCellAnchor>
  <xdr:twoCellAnchor>
    <xdr:from>
      <xdr:col>2</xdr:col>
      <xdr:colOff>108858</xdr:colOff>
      <xdr:row>40</xdr:row>
      <xdr:rowOff>97971</xdr:rowOff>
    </xdr:from>
    <xdr:to>
      <xdr:col>2</xdr:col>
      <xdr:colOff>969116</xdr:colOff>
      <xdr:row>40</xdr:row>
      <xdr:rowOff>952500</xdr:rowOff>
    </xdr:to>
    <xdr:pic>
      <xdr:nvPicPr>
        <xdr:cNvPr id="66" name="Imagen 65">
          <a:extLst>
            <a:ext uri="{FF2B5EF4-FFF2-40B4-BE49-F238E27FC236}">
              <a16:creationId xmlns:a16="http://schemas.microsoft.com/office/drawing/2014/main" id="{2496EA2F-EBF3-E7A3-B11C-008B7927E895}"/>
            </a:ext>
          </a:extLst>
        </xdr:cNvPr>
        <xdr:cNvPicPr>
          <a:picLocks noChangeAspect="1"/>
        </xdr:cNvPicPr>
      </xdr:nvPicPr>
      <xdr:blipFill>
        <a:blip xmlns:r="http://schemas.openxmlformats.org/officeDocument/2006/relationships" r:embed="rId24"/>
        <a:stretch>
          <a:fillRect/>
        </a:stretch>
      </xdr:blipFill>
      <xdr:spPr>
        <a:xfrm>
          <a:off x="849087" y="16959942"/>
          <a:ext cx="860258" cy="854529"/>
        </a:xfrm>
        <a:prstGeom prst="rect">
          <a:avLst/>
        </a:prstGeom>
      </xdr:spPr>
    </xdr:pic>
    <xdr:clientData/>
  </xdr:twoCellAnchor>
  <xdr:twoCellAnchor>
    <xdr:from>
      <xdr:col>2</xdr:col>
      <xdr:colOff>204107</xdr:colOff>
      <xdr:row>139</xdr:row>
      <xdr:rowOff>231322</xdr:rowOff>
    </xdr:from>
    <xdr:to>
      <xdr:col>2</xdr:col>
      <xdr:colOff>946964</xdr:colOff>
      <xdr:row>139</xdr:row>
      <xdr:rowOff>1088465</xdr:rowOff>
    </xdr:to>
    <xdr:pic>
      <xdr:nvPicPr>
        <xdr:cNvPr id="67" name="Imagen 66">
          <a:extLst>
            <a:ext uri="{FF2B5EF4-FFF2-40B4-BE49-F238E27FC236}">
              <a16:creationId xmlns:a16="http://schemas.microsoft.com/office/drawing/2014/main" id="{19813AE3-13A3-E7E6-D439-E96852AE63ED}"/>
            </a:ext>
          </a:extLst>
        </xdr:cNvPr>
        <xdr:cNvPicPr>
          <a:picLocks noChangeAspect="1"/>
        </xdr:cNvPicPr>
      </xdr:nvPicPr>
      <xdr:blipFill>
        <a:blip xmlns:r="http://schemas.openxmlformats.org/officeDocument/2006/relationships" r:embed="rId25"/>
        <a:stretch>
          <a:fillRect/>
        </a:stretch>
      </xdr:blipFill>
      <xdr:spPr>
        <a:xfrm>
          <a:off x="938893" y="54714322"/>
          <a:ext cx="742857" cy="857143"/>
        </a:xfrm>
        <a:prstGeom prst="rect">
          <a:avLst/>
        </a:prstGeom>
      </xdr:spPr>
    </xdr:pic>
    <xdr:clientData/>
  </xdr:twoCellAnchor>
  <xdr:twoCellAnchor>
    <xdr:from>
      <xdr:col>2</xdr:col>
      <xdr:colOff>95250</xdr:colOff>
      <xdr:row>130</xdr:row>
      <xdr:rowOff>136071</xdr:rowOff>
    </xdr:from>
    <xdr:to>
      <xdr:col>2</xdr:col>
      <xdr:colOff>1002904</xdr:colOff>
      <xdr:row>130</xdr:row>
      <xdr:rowOff>1006928</xdr:rowOff>
    </xdr:to>
    <xdr:pic>
      <xdr:nvPicPr>
        <xdr:cNvPr id="72" name="Imagen 71">
          <a:extLst>
            <a:ext uri="{FF2B5EF4-FFF2-40B4-BE49-F238E27FC236}">
              <a16:creationId xmlns:a16="http://schemas.microsoft.com/office/drawing/2014/main" id="{8FAEAF99-B359-3FCA-86F1-6853D6572CC8}"/>
            </a:ext>
          </a:extLst>
        </xdr:cNvPr>
        <xdr:cNvPicPr>
          <a:picLocks noChangeAspect="1"/>
        </xdr:cNvPicPr>
      </xdr:nvPicPr>
      <xdr:blipFill>
        <a:blip xmlns:r="http://schemas.openxmlformats.org/officeDocument/2006/relationships" r:embed="rId26"/>
        <a:stretch>
          <a:fillRect/>
        </a:stretch>
      </xdr:blipFill>
      <xdr:spPr>
        <a:xfrm>
          <a:off x="830036" y="49380321"/>
          <a:ext cx="907654" cy="870857"/>
        </a:xfrm>
        <a:prstGeom prst="rect">
          <a:avLst/>
        </a:prstGeom>
      </xdr:spPr>
    </xdr:pic>
    <xdr:clientData/>
  </xdr:twoCellAnchor>
  <xdr:twoCellAnchor>
    <xdr:from>
      <xdr:col>2</xdr:col>
      <xdr:colOff>108857</xdr:colOff>
      <xdr:row>129</xdr:row>
      <xdr:rowOff>27214</xdr:rowOff>
    </xdr:from>
    <xdr:to>
      <xdr:col>2</xdr:col>
      <xdr:colOff>1016511</xdr:colOff>
      <xdr:row>130</xdr:row>
      <xdr:rowOff>54428</xdr:rowOff>
    </xdr:to>
    <xdr:pic>
      <xdr:nvPicPr>
        <xdr:cNvPr id="73" name="Imagen 72">
          <a:extLst>
            <a:ext uri="{FF2B5EF4-FFF2-40B4-BE49-F238E27FC236}">
              <a16:creationId xmlns:a16="http://schemas.microsoft.com/office/drawing/2014/main" id="{5563EE18-9766-4ABE-BF63-F03CC9625998}"/>
            </a:ext>
          </a:extLst>
        </xdr:cNvPr>
        <xdr:cNvPicPr>
          <a:picLocks noChangeAspect="1"/>
        </xdr:cNvPicPr>
      </xdr:nvPicPr>
      <xdr:blipFill>
        <a:blip xmlns:r="http://schemas.openxmlformats.org/officeDocument/2006/relationships" r:embed="rId26"/>
        <a:stretch>
          <a:fillRect/>
        </a:stretch>
      </xdr:blipFill>
      <xdr:spPr>
        <a:xfrm>
          <a:off x="843643" y="48427821"/>
          <a:ext cx="907654" cy="870857"/>
        </a:xfrm>
        <a:prstGeom prst="rect">
          <a:avLst/>
        </a:prstGeom>
      </xdr:spPr>
    </xdr:pic>
    <xdr:clientData/>
  </xdr:twoCellAnchor>
  <xdr:twoCellAnchor>
    <xdr:from>
      <xdr:col>2</xdr:col>
      <xdr:colOff>152400</xdr:colOff>
      <xdr:row>45</xdr:row>
      <xdr:rowOff>87086</xdr:rowOff>
    </xdr:from>
    <xdr:to>
      <xdr:col>2</xdr:col>
      <xdr:colOff>957942</xdr:colOff>
      <xdr:row>45</xdr:row>
      <xdr:rowOff>1153886</xdr:rowOff>
    </xdr:to>
    <xdr:pic>
      <xdr:nvPicPr>
        <xdr:cNvPr id="68" name="Imagen 67">
          <a:extLst>
            <a:ext uri="{FF2B5EF4-FFF2-40B4-BE49-F238E27FC236}">
              <a16:creationId xmlns:a16="http://schemas.microsoft.com/office/drawing/2014/main" id="{F6B01869-D0A8-422A-8FA9-01B7DB26EDFD}"/>
            </a:ext>
          </a:extLst>
        </xdr:cNvPr>
        <xdr:cNvPicPr>
          <a:picLocks noChangeAspect="1"/>
        </xdr:cNvPicPr>
      </xdr:nvPicPr>
      <xdr:blipFill>
        <a:blip xmlns:r="http://schemas.openxmlformats.org/officeDocument/2006/relationships" r:embed="rId27">
          <a:extLst>
            <a:ext uri="{BEBA8EAE-BF5A-486C-A8C5-ECC9F3942E4B}">
              <a14:imgProps xmlns:a14="http://schemas.microsoft.com/office/drawing/2010/main">
                <a14:imgLayer r:embed="rId28">
                  <a14:imgEffect>
                    <a14:brightnessContrast bright="23000" contrast="10000"/>
                  </a14:imgEffect>
                </a14:imgLayer>
              </a14:imgProps>
            </a:ext>
          </a:extLst>
        </a:blip>
        <a:stretch>
          <a:fillRect/>
        </a:stretch>
      </xdr:blipFill>
      <xdr:spPr>
        <a:xfrm>
          <a:off x="892629" y="18854057"/>
          <a:ext cx="805542" cy="1066800"/>
        </a:xfrm>
        <a:prstGeom prst="rect">
          <a:avLst/>
        </a:prstGeom>
      </xdr:spPr>
    </xdr:pic>
    <xdr:clientData/>
  </xdr:twoCellAnchor>
  <xdr:twoCellAnchor>
    <xdr:from>
      <xdr:col>2</xdr:col>
      <xdr:colOff>154516</xdr:colOff>
      <xdr:row>127</xdr:row>
      <xdr:rowOff>74086</xdr:rowOff>
    </xdr:from>
    <xdr:to>
      <xdr:col>2</xdr:col>
      <xdr:colOff>1001183</xdr:colOff>
      <xdr:row>128</xdr:row>
      <xdr:rowOff>40216</xdr:rowOff>
    </xdr:to>
    <xdr:pic>
      <xdr:nvPicPr>
        <xdr:cNvPr id="77" name="Imagen 76">
          <a:extLst>
            <a:ext uri="{FF2B5EF4-FFF2-40B4-BE49-F238E27FC236}">
              <a16:creationId xmlns:a16="http://schemas.microsoft.com/office/drawing/2014/main" id="{F9976A72-4B41-47F4-953A-EF9345894522}"/>
            </a:ext>
          </a:extLst>
        </xdr:cNvPr>
        <xdr:cNvPicPr>
          <a:picLocks noChangeAspect="1"/>
        </xdr:cNvPicPr>
      </xdr:nvPicPr>
      <xdr:blipFill rotWithShape="1">
        <a:blip xmlns:r="http://schemas.openxmlformats.org/officeDocument/2006/relationships" r:embed="rId29"/>
        <a:srcRect l="4348" t="1139"/>
        <a:stretch/>
      </xdr:blipFill>
      <xdr:spPr>
        <a:xfrm>
          <a:off x="874183" y="49985086"/>
          <a:ext cx="846667" cy="833963"/>
        </a:xfrm>
        <a:prstGeom prst="rect">
          <a:avLst/>
        </a:prstGeom>
      </xdr:spPr>
    </xdr:pic>
    <xdr:clientData/>
  </xdr:twoCellAnchor>
  <xdr:twoCellAnchor>
    <xdr:from>
      <xdr:col>2</xdr:col>
      <xdr:colOff>169333</xdr:colOff>
      <xdr:row>123</xdr:row>
      <xdr:rowOff>158750</xdr:rowOff>
    </xdr:from>
    <xdr:to>
      <xdr:col>2</xdr:col>
      <xdr:colOff>890511</xdr:colOff>
      <xdr:row>123</xdr:row>
      <xdr:rowOff>1050928</xdr:rowOff>
    </xdr:to>
    <xdr:pic>
      <xdr:nvPicPr>
        <xdr:cNvPr id="78" name="Imagen 77">
          <a:extLst>
            <a:ext uri="{FF2B5EF4-FFF2-40B4-BE49-F238E27FC236}">
              <a16:creationId xmlns:a16="http://schemas.microsoft.com/office/drawing/2014/main" id="{B309D4B7-E665-4E94-9E9C-505765B8925E}"/>
            </a:ext>
          </a:extLst>
        </xdr:cNvPr>
        <xdr:cNvPicPr>
          <a:picLocks noChangeAspect="1"/>
        </xdr:cNvPicPr>
      </xdr:nvPicPr>
      <xdr:blipFill>
        <a:blip xmlns:r="http://schemas.openxmlformats.org/officeDocument/2006/relationships" r:embed="rId30">
          <a:extLst>
            <a:ext uri="{BEBA8EAE-BF5A-486C-A8C5-ECC9F3942E4B}">
              <a14:imgProps xmlns:a14="http://schemas.microsoft.com/office/drawing/2010/main">
                <a14:imgLayer r:embed="rId31">
                  <a14:imgEffect>
                    <a14:colorTemperature colorTemp="6083"/>
                  </a14:imgEffect>
                  <a14:imgEffect>
                    <a14:saturation sat="61000"/>
                  </a14:imgEffect>
                  <a14:imgEffect>
                    <a14:brightnessContrast bright="-6000" contrast="-7000"/>
                  </a14:imgEffect>
                </a14:imgLayer>
              </a14:imgProps>
            </a:ext>
          </a:extLst>
        </a:blip>
        <a:stretch>
          <a:fillRect/>
        </a:stretch>
      </xdr:blipFill>
      <xdr:spPr>
        <a:xfrm>
          <a:off x="889000" y="47328667"/>
          <a:ext cx="721178" cy="892178"/>
        </a:xfrm>
        <a:prstGeom prst="rect">
          <a:avLst/>
        </a:prstGeom>
      </xdr:spPr>
    </xdr:pic>
    <xdr:clientData/>
  </xdr:twoCellAnchor>
  <xdr:twoCellAnchor>
    <xdr:from>
      <xdr:col>2</xdr:col>
      <xdr:colOff>63500</xdr:colOff>
      <xdr:row>135</xdr:row>
      <xdr:rowOff>139234</xdr:rowOff>
    </xdr:from>
    <xdr:to>
      <xdr:col>2</xdr:col>
      <xdr:colOff>994833</xdr:colOff>
      <xdr:row>135</xdr:row>
      <xdr:rowOff>915345</xdr:rowOff>
    </xdr:to>
    <xdr:pic>
      <xdr:nvPicPr>
        <xdr:cNvPr id="23" name="Imagen 22">
          <a:extLst>
            <a:ext uri="{FF2B5EF4-FFF2-40B4-BE49-F238E27FC236}">
              <a16:creationId xmlns:a16="http://schemas.microsoft.com/office/drawing/2014/main" id="{4F1B4263-CAF5-3B7A-25A8-4FCA7765A049}"/>
            </a:ext>
          </a:extLst>
        </xdr:cNvPr>
        <xdr:cNvPicPr>
          <a:picLocks noChangeAspect="1"/>
        </xdr:cNvPicPr>
      </xdr:nvPicPr>
      <xdr:blipFill>
        <a:blip xmlns:r="http://schemas.openxmlformats.org/officeDocument/2006/relationships" r:embed="rId32"/>
        <a:stretch>
          <a:fillRect/>
        </a:stretch>
      </xdr:blipFill>
      <xdr:spPr>
        <a:xfrm>
          <a:off x="783167" y="55225484"/>
          <a:ext cx="931333" cy="776111"/>
        </a:xfrm>
        <a:prstGeom prst="rect">
          <a:avLst/>
        </a:prstGeom>
      </xdr:spPr>
    </xdr:pic>
    <xdr:clientData/>
  </xdr:twoCellAnchor>
  <xdr:twoCellAnchor>
    <xdr:from>
      <xdr:col>2</xdr:col>
      <xdr:colOff>201083</xdr:colOff>
      <xdr:row>211</xdr:row>
      <xdr:rowOff>158750</xdr:rowOff>
    </xdr:from>
    <xdr:to>
      <xdr:col>2</xdr:col>
      <xdr:colOff>943940</xdr:colOff>
      <xdr:row>211</xdr:row>
      <xdr:rowOff>749226</xdr:rowOff>
    </xdr:to>
    <xdr:pic>
      <xdr:nvPicPr>
        <xdr:cNvPr id="79" name="Imagen 78">
          <a:extLst>
            <a:ext uri="{FF2B5EF4-FFF2-40B4-BE49-F238E27FC236}">
              <a16:creationId xmlns:a16="http://schemas.microsoft.com/office/drawing/2014/main" id="{1ED390BF-473C-4C5C-9C69-D8D0C47B7924}"/>
            </a:ext>
          </a:extLst>
        </xdr:cNvPr>
        <xdr:cNvPicPr>
          <a:picLocks noChangeAspect="1"/>
        </xdr:cNvPicPr>
      </xdr:nvPicPr>
      <xdr:blipFill>
        <a:blip xmlns:r="http://schemas.openxmlformats.org/officeDocument/2006/relationships" r:embed="rId33"/>
        <a:stretch>
          <a:fillRect/>
        </a:stretch>
      </xdr:blipFill>
      <xdr:spPr>
        <a:xfrm>
          <a:off x="920750" y="88392000"/>
          <a:ext cx="742857" cy="590476"/>
        </a:xfrm>
        <a:prstGeom prst="rect">
          <a:avLst/>
        </a:prstGeom>
      </xdr:spPr>
    </xdr:pic>
    <xdr:clientData/>
  </xdr:twoCellAnchor>
  <xdr:twoCellAnchor>
    <xdr:from>
      <xdr:col>2</xdr:col>
      <xdr:colOff>169333</xdr:colOff>
      <xdr:row>216</xdr:row>
      <xdr:rowOff>105833</xdr:rowOff>
    </xdr:from>
    <xdr:to>
      <xdr:col>2</xdr:col>
      <xdr:colOff>976157</xdr:colOff>
      <xdr:row>216</xdr:row>
      <xdr:rowOff>682128</xdr:rowOff>
    </xdr:to>
    <xdr:pic>
      <xdr:nvPicPr>
        <xdr:cNvPr id="80" name="Imagen 79">
          <a:extLst>
            <a:ext uri="{FF2B5EF4-FFF2-40B4-BE49-F238E27FC236}">
              <a16:creationId xmlns:a16="http://schemas.microsoft.com/office/drawing/2014/main" id="{D4797820-09E9-4517-B3ED-022678597D15}"/>
            </a:ext>
          </a:extLst>
        </xdr:cNvPr>
        <xdr:cNvPicPr>
          <a:picLocks noChangeAspect="1"/>
        </xdr:cNvPicPr>
      </xdr:nvPicPr>
      <xdr:blipFill rotWithShape="1">
        <a:blip xmlns:r="http://schemas.openxmlformats.org/officeDocument/2006/relationships" r:embed="rId34">
          <a:extLst>
            <a:ext uri="{BEBA8EAE-BF5A-486C-A8C5-ECC9F3942E4B}">
              <a14:imgProps xmlns:a14="http://schemas.microsoft.com/office/drawing/2010/main">
                <a14:imgLayer r:embed="rId35">
                  <a14:imgEffect>
                    <a14:brightnessContrast bright="22000"/>
                  </a14:imgEffect>
                </a14:imgLayer>
              </a14:imgProps>
            </a:ext>
          </a:extLst>
        </a:blip>
        <a:srcRect l="6192" t="15316"/>
        <a:stretch/>
      </xdr:blipFill>
      <xdr:spPr>
        <a:xfrm>
          <a:off x="889000" y="91736333"/>
          <a:ext cx="806824" cy="576295"/>
        </a:xfrm>
        <a:prstGeom prst="rect">
          <a:avLst/>
        </a:prstGeom>
      </xdr:spPr>
    </xdr:pic>
    <xdr:clientData/>
  </xdr:twoCellAnchor>
  <xdr:twoCellAnchor>
    <xdr:from>
      <xdr:col>2</xdr:col>
      <xdr:colOff>254000</xdr:colOff>
      <xdr:row>215</xdr:row>
      <xdr:rowOff>0</xdr:rowOff>
    </xdr:from>
    <xdr:to>
      <xdr:col>2</xdr:col>
      <xdr:colOff>947964</xdr:colOff>
      <xdr:row>216</xdr:row>
      <xdr:rowOff>21167</xdr:rowOff>
    </xdr:to>
    <xdr:pic>
      <xdr:nvPicPr>
        <xdr:cNvPr id="81" name="Imagen 80">
          <a:extLst>
            <a:ext uri="{FF2B5EF4-FFF2-40B4-BE49-F238E27FC236}">
              <a16:creationId xmlns:a16="http://schemas.microsoft.com/office/drawing/2014/main" id="{2F96AAAA-FE9B-4DF7-8A2A-F1DB1F9A4B7B}"/>
            </a:ext>
          </a:extLst>
        </xdr:cNvPr>
        <xdr:cNvPicPr>
          <a:picLocks noChangeAspect="1"/>
        </xdr:cNvPicPr>
      </xdr:nvPicPr>
      <xdr:blipFill>
        <a:blip xmlns:r="http://schemas.openxmlformats.org/officeDocument/2006/relationships" r:embed="rId36"/>
        <a:stretch>
          <a:fillRect/>
        </a:stretch>
      </xdr:blipFill>
      <xdr:spPr>
        <a:xfrm>
          <a:off x="973667" y="91397667"/>
          <a:ext cx="693964" cy="952500"/>
        </a:xfrm>
        <a:prstGeom prst="rect">
          <a:avLst/>
        </a:prstGeom>
      </xdr:spPr>
    </xdr:pic>
    <xdr:clientData/>
  </xdr:twoCellAnchor>
  <xdr:twoCellAnchor>
    <xdr:from>
      <xdr:col>2</xdr:col>
      <xdr:colOff>116416</xdr:colOff>
      <xdr:row>214</xdr:row>
      <xdr:rowOff>222250</xdr:rowOff>
    </xdr:from>
    <xdr:to>
      <xdr:col>2</xdr:col>
      <xdr:colOff>972556</xdr:colOff>
      <xdr:row>214</xdr:row>
      <xdr:rowOff>849779</xdr:rowOff>
    </xdr:to>
    <xdr:pic>
      <xdr:nvPicPr>
        <xdr:cNvPr id="82" name="Imagen 81">
          <a:extLst>
            <a:ext uri="{FF2B5EF4-FFF2-40B4-BE49-F238E27FC236}">
              <a16:creationId xmlns:a16="http://schemas.microsoft.com/office/drawing/2014/main" id="{3D20F9E9-551E-4057-ABA7-144AD2371AB3}"/>
            </a:ext>
          </a:extLst>
        </xdr:cNvPr>
        <xdr:cNvPicPr>
          <a:picLocks noChangeAspect="1"/>
        </xdr:cNvPicPr>
      </xdr:nvPicPr>
      <xdr:blipFill>
        <a:blip xmlns:r="http://schemas.openxmlformats.org/officeDocument/2006/relationships" r:embed="rId37"/>
        <a:stretch>
          <a:fillRect/>
        </a:stretch>
      </xdr:blipFill>
      <xdr:spPr>
        <a:xfrm>
          <a:off x="836083" y="90572167"/>
          <a:ext cx="856140" cy="627529"/>
        </a:xfrm>
        <a:prstGeom prst="rect">
          <a:avLst/>
        </a:prstGeom>
      </xdr:spPr>
    </xdr:pic>
    <xdr:clientData/>
  </xdr:twoCellAnchor>
  <xdr:twoCellAnchor>
    <xdr:from>
      <xdr:col>2</xdr:col>
      <xdr:colOff>148167</xdr:colOff>
      <xdr:row>147</xdr:row>
      <xdr:rowOff>45120</xdr:rowOff>
    </xdr:from>
    <xdr:to>
      <xdr:col>2</xdr:col>
      <xdr:colOff>931332</xdr:colOff>
      <xdr:row>147</xdr:row>
      <xdr:rowOff>1173079</xdr:rowOff>
    </xdr:to>
    <xdr:pic>
      <xdr:nvPicPr>
        <xdr:cNvPr id="83" name="Imagen 23">
          <a:extLst>
            <a:ext uri="{FF2B5EF4-FFF2-40B4-BE49-F238E27FC236}">
              <a16:creationId xmlns:a16="http://schemas.microsoft.com/office/drawing/2014/main" id="{75A39FDD-7C3D-44AB-860F-C36F6FD786DF}"/>
            </a:ext>
          </a:extLst>
        </xdr:cNvPr>
        <xdr:cNvPicPr>
          <a:picLocks noChangeAspect="1"/>
        </xdr:cNvPicPr>
      </xdr:nvPicPr>
      <xdr:blipFill>
        <a:blip xmlns:r="http://schemas.openxmlformats.org/officeDocument/2006/relationships" r:embed="rId38">
          <a:extLst>
            <a:ext uri="{BEBA8EAE-BF5A-486C-A8C5-ECC9F3942E4B}">
              <a14:imgProps xmlns:a14="http://schemas.microsoft.com/office/drawing/2010/main">
                <a14:imgLayer r:embed="rId39">
                  <a14:imgEffect>
                    <a14:brightnessContrast bright="21000" contrast="-10000"/>
                  </a14:imgEffect>
                </a14:imgLayer>
              </a14:imgProps>
            </a:ext>
          </a:extLst>
        </a:blip>
        <a:stretch>
          <a:fillRect/>
        </a:stretch>
      </xdr:blipFill>
      <xdr:spPr>
        <a:xfrm>
          <a:off x="870062" y="86131067"/>
          <a:ext cx="783165" cy="1127959"/>
        </a:xfrm>
        <a:prstGeom prst="rect">
          <a:avLst/>
        </a:prstGeom>
      </xdr:spPr>
    </xdr:pic>
    <xdr:clientData/>
  </xdr:twoCellAnchor>
  <xdr:twoCellAnchor>
    <xdr:from>
      <xdr:col>2</xdr:col>
      <xdr:colOff>63500</xdr:colOff>
      <xdr:row>195</xdr:row>
      <xdr:rowOff>179917</xdr:rowOff>
    </xdr:from>
    <xdr:to>
      <xdr:col>3</xdr:col>
      <xdr:colOff>22679</xdr:colOff>
      <xdr:row>195</xdr:row>
      <xdr:rowOff>928310</xdr:rowOff>
    </xdr:to>
    <xdr:pic>
      <xdr:nvPicPr>
        <xdr:cNvPr id="8" name="Imagen 62">
          <a:extLst>
            <a:ext uri="{FF2B5EF4-FFF2-40B4-BE49-F238E27FC236}">
              <a16:creationId xmlns:a16="http://schemas.microsoft.com/office/drawing/2014/main" id="{01692CD1-A14A-4CA9-B6F5-103B4CDCAB08}"/>
            </a:ext>
          </a:extLst>
        </xdr:cNvPr>
        <xdr:cNvPicPr>
          <a:picLocks noChangeAspect="1"/>
        </xdr:cNvPicPr>
      </xdr:nvPicPr>
      <xdr:blipFill>
        <a:blip xmlns:r="http://schemas.openxmlformats.org/officeDocument/2006/relationships" r:embed="rId16"/>
        <a:stretch>
          <a:fillRect/>
        </a:stretch>
      </xdr:blipFill>
      <xdr:spPr>
        <a:xfrm>
          <a:off x="783167" y="80391000"/>
          <a:ext cx="996345" cy="748393"/>
        </a:xfrm>
        <a:prstGeom prst="rect">
          <a:avLst/>
        </a:prstGeom>
      </xdr:spPr>
    </xdr:pic>
    <xdr:clientData/>
  </xdr:twoCellAnchor>
  <xdr:twoCellAnchor>
    <xdr:from>
      <xdr:col>2</xdr:col>
      <xdr:colOff>211666</xdr:colOff>
      <xdr:row>197</xdr:row>
      <xdr:rowOff>973665</xdr:rowOff>
    </xdr:from>
    <xdr:to>
      <xdr:col>2</xdr:col>
      <xdr:colOff>873516</xdr:colOff>
      <xdr:row>199</xdr:row>
      <xdr:rowOff>62900</xdr:rowOff>
    </xdr:to>
    <xdr:pic>
      <xdr:nvPicPr>
        <xdr:cNvPr id="19" name="Imagen 18">
          <a:extLst>
            <a:ext uri="{FF2B5EF4-FFF2-40B4-BE49-F238E27FC236}">
              <a16:creationId xmlns:a16="http://schemas.microsoft.com/office/drawing/2014/main" id="{90977205-A6EB-4A50-87A3-CD292D1FFDEE}"/>
            </a:ext>
          </a:extLst>
        </xdr:cNvPr>
        <xdr:cNvPicPr>
          <a:picLocks noChangeAspect="1"/>
        </xdr:cNvPicPr>
      </xdr:nvPicPr>
      <xdr:blipFill>
        <a:blip xmlns:r="http://schemas.openxmlformats.org/officeDocument/2006/relationships" r:embed="rId40">
          <a:extLst>
            <a:ext uri="{BEBA8EAE-BF5A-486C-A8C5-ECC9F3942E4B}">
              <a14:imgProps xmlns:a14="http://schemas.microsoft.com/office/drawing/2010/main">
                <a14:imgLayer r:embed="rId41">
                  <a14:imgEffect>
                    <a14:brightnessContrast bright="23000"/>
                  </a14:imgEffect>
                </a14:imgLayer>
              </a14:imgProps>
            </a:ext>
          </a:extLst>
        </a:blip>
        <a:stretch>
          <a:fillRect/>
        </a:stretch>
      </xdr:blipFill>
      <xdr:spPr>
        <a:xfrm>
          <a:off x="931333" y="82253665"/>
          <a:ext cx="661850" cy="771985"/>
        </a:xfrm>
        <a:prstGeom prst="rect">
          <a:avLst/>
        </a:prstGeom>
      </xdr:spPr>
    </xdr:pic>
    <xdr:clientData/>
  </xdr:twoCellAnchor>
  <xdr:twoCellAnchor>
    <xdr:from>
      <xdr:col>2</xdr:col>
      <xdr:colOff>222250</xdr:colOff>
      <xdr:row>197</xdr:row>
      <xdr:rowOff>105834</xdr:rowOff>
    </xdr:from>
    <xdr:to>
      <xdr:col>2</xdr:col>
      <xdr:colOff>884100</xdr:colOff>
      <xdr:row>197</xdr:row>
      <xdr:rowOff>888402</xdr:rowOff>
    </xdr:to>
    <xdr:pic>
      <xdr:nvPicPr>
        <xdr:cNvPr id="21" name="Imagen 20">
          <a:extLst>
            <a:ext uri="{FF2B5EF4-FFF2-40B4-BE49-F238E27FC236}">
              <a16:creationId xmlns:a16="http://schemas.microsoft.com/office/drawing/2014/main" id="{AF45A5F2-582A-479C-8D79-E1C2B8BA02A6}"/>
            </a:ext>
          </a:extLst>
        </xdr:cNvPr>
        <xdr:cNvPicPr>
          <a:picLocks noChangeAspect="1"/>
        </xdr:cNvPicPr>
      </xdr:nvPicPr>
      <xdr:blipFill>
        <a:blip xmlns:r="http://schemas.openxmlformats.org/officeDocument/2006/relationships" r:embed="rId40">
          <a:extLst>
            <a:ext uri="{BEBA8EAE-BF5A-486C-A8C5-ECC9F3942E4B}">
              <a14:imgProps xmlns:a14="http://schemas.microsoft.com/office/drawing/2010/main">
                <a14:imgLayer r:embed="rId41">
                  <a14:imgEffect>
                    <a14:brightnessContrast bright="23000"/>
                  </a14:imgEffect>
                </a14:imgLayer>
              </a14:imgProps>
            </a:ext>
          </a:extLst>
        </a:blip>
        <a:stretch>
          <a:fillRect/>
        </a:stretch>
      </xdr:blipFill>
      <xdr:spPr>
        <a:xfrm>
          <a:off x="941917" y="81385834"/>
          <a:ext cx="661850" cy="782568"/>
        </a:xfrm>
        <a:prstGeom prst="rect">
          <a:avLst/>
        </a:prstGeom>
      </xdr:spPr>
    </xdr:pic>
    <xdr:clientData/>
  </xdr:twoCellAnchor>
  <xdr:twoCellAnchor>
    <xdr:from>
      <xdr:col>2</xdr:col>
      <xdr:colOff>84667</xdr:colOff>
      <xdr:row>209</xdr:row>
      <xdr:rowOff>84666</xdr:rowOff>
    </xdr:from>
    <xdr:to>
      <xdr:col>2</xdr:col>
      <xdr:colOff>1004095</xdr:colOff>
      <xdr:row>209</xdr:row>
      <xdr:rowOff>740833</xdr:rowOff>
    </xdr:to>
    <xdr:pic>
      <xdr:nvPicPr>
        <xdr:cNvPr id="22" name="Imagen 21">
          <a:extLst>
            <a:ext uri="{FF2B5EF4-FFF2-40B4-BE49-F238E27FC236}">
              <a16:creationId xmlns:a16="http://schemas.microsoft.com/office/drawing/2014/main" id="{FAF80309-A92D-4A1E-A18E-DD50D9D629A3}"/>
            </a:ext>
          </a:extLst>
        </xdr:cNvPr>
        <xdr:cNvPicPr>
          <a:picLocks noChangeAspect="1"/>
        </xdr:cNvPicPr>
      </xdr:nvPicPr>
      <xdr:blipFill>
        <a:blip xmlns:r="http://schemas.openxmlformats.org/officeDocument/2006/relationships" r:embed="rId42"/>
        <a:stretch>
          <a:fillRect/>
        </a:stretch>
      </xdr:blipFill>
      <xdr:spPr>
        <a:xfrm>
          <a:off x="804334" y="86624583"/>
          <a:ext cx="919428" cy="656167"/>
        </a:xfrm>
        <a:prstGeom prst="rect">
          <a:avLst/>
        </a:prstGeom>
      </xdr:spPr>
    </xdr:pic>
    <xdr:clientData/>
  </xdr:twoCellAnchor>
  <xdr:twoCellAnchor>
    <xdr:from>
      <xdr:col>2</xdr:col>
      <xdr:colOff>105834</xdr:colOff>
      <xdr:row>210</xdr:row>
      <xdr:rowOff>74084</xdr:rowOff>
    </xdr:from>
    <xdr:to>
      <xdr:col>2</xdr:col>
      <xdr:colOff>986449</xdr:colOff>
      <xdr:row>210</xdr:row>
      <xdr:rowOff>508000</xdr:rowOff>
    </xdr:to>
    <xdr:pic>
      <xdr:nvPicPr>
        <xdr:cNvPr id="29" name="Imagen 28">
          <a:extLst>
            <a:ext uri="{FF2B5EF4-FFF2-40B4-BE49-F238E27FC236}">
              <a16:creationId xmlns:a16="http://schemas.microsoft.com/office/drawing/2014/main" id="{F04BA387-BF1C-4909-AA67-DAE957B3A2AD}"/>
            </a:ext>
          </a:extLst>
        </xdr:cNvPr>
        <xdr:cNvPicPr>
          <a:picLocks noChangeAspect="1"/>
        </xdr:cNvPicPr>
      </xdr:nvPicPr>
      <xdr:blipFill>
        <a:blip xmlns:r="http://schemas.openxmlformats.org/officeDocument/2006/relationships" r:embed="rId42"/>
        <a:stretch>
          <a:fillRect/>
        </a:stretch>
      </xdr:blipFill>
      <xdr:spPr>
        <a:xfrm rot="16200000">
          <a:off x="1048851" y="87205567"/>
          <a:ext cx="433916" cy="880615"/>
        </a:xfrm>
        <a:prstGeom prst="rect">
          <a:avLst/>
        </a:prstGeom>
      </xdr:spPr>
    </xdr:pic>
    <xdr:clientData/>
  </xdr:twoCellAnchor>
  <xdr:twoCellAnchor>
    <xdr:from>
      <xdr:col>2</xdr:col>
      <xdr:colOff>163286</xdr:colOff>
      <xdr:row>98</xdr:row>
      <xdr:rowOff>81644</xdr:rowOff>
    </xdr:from>
    <xdr:to>
      <xdr:col>2</xdr:col>
      <xdr:colOff>922358</xdr:colOff>
      <xdr:row>98</xdr:row>
      <xdr:rowOff>1061358</xdr:rowOff>
    </xdr:to>
    <xdr:pic>
      <xdr:nvPicPr>
        <xdr:cNvPr id="13" name="Imagen 14">
          <a:extLst>
            <a:ext uri="{FF2B5EF4-FFF2-40B4-BE49-F238E27FC236}">
              <a16:creationId xmlns:a16="http://schemas.microsoft.com/office/drawing/2014/main" id="{1BB6ACF8-9482-491F-BD6D-E337E7C35DF7}"/>
            </a:ext>
          </a:extLst>
        </xdr:cNvPr>
        <xdr:cNvPicPr>
          <a:picLocks noChangeAspect="1"/>
        </xdr:cNvPicPr>
      </xdr:nvPicPr>
      <xdr:blipFill>
        <a:blip xmlns:r="http://schemas.openxmlformats.org/officeDocument/2006/relationships" r:embed="rId5"/>
        <a:stretch>
          <a:fillRect/>
        </a:stretch>
      </xdr:blipFill>
      <xdr:spPr>
        <a:xfrm>
          <a:off x="882953" y="40150144"/>
          <a:ext cx="759072" cy="979714"/>
        </a:xfrm>
        <a:prstGeom prst="rect">
          <a:avLst/>
        </a:prstGeom>
      </xdr:spPr>
    </xdr:pic>
    <xdr:clientData/>
  </xdr:twoCellAnchor>
  <xdr:twoCellAnchor>
    <xdr:from>
      <xdr:col>2</xdr:col>
      <xdr:colOff>149679</xdr:colOff>
      <xdr:row>96</xdr:row>
      <xdr:rowOff>68036</xdr:rowOff>
    </xdr:from>
    <xdr:to>
      <xdr:col>2</xdr:col>
      <xdr:colOff>908751</xdr:colOff>
      <xdr:row>96</xdr:row>
      <xdr:rowOff>1047750</xdr:rowOff>
    </xdr:to>
    <xdr:pic>
      <xdr:nvPicPr>
        <xdr:cNvPr id="46" name="Imagen 64">
          <a:extLst>
            <a:ext uri="{FF2B5EF4-FFF2-40B4-BE49-F238E27FC236}">
              <a16:creationId xmlns:a16="http://schemas.microsoft.com/office/drawing/2014/main" id="{22D78321-0DEA-49A0-A747-6C802A0ED068}"/>
            </a:ext>
          </a:extLst>
        </xdr:cNvPr>
        <xdr:cNvPicPr>
          <a:picLocks noChangeAspect="1"/>
        </xdr:cNvPicPr>
      </xdr:nvPicPr>
      <xdr:blipFill>
        <a:blip xmlns:r="http://schemas.openxmlformats.org/officeDocument/2006/relationships" r:embed="rId5"/>
        <a:stretch>
          <a:fillRect/>
        </a:stretch>
      </xdr:blipFill>
      <xdr:spPr>
        <a:xfrm>
          <a:off x="869346" y="37776453"/>
          <a:ext cx="759072" cy="979714"/>
        </a:xfrm>
        <a:prstGeom prst="rect">
          <a:avLst/>
        </a:prstGeom>
      </xdr:spPr>
    </xdr:pic>
    <xdr:clientData/>
  </xdr:twoCellAnchor>
  <xdr:twoCellAnchor>
    <xdr:from>
      <xdr:col>2</xdr:col>
      <xdr:colOff>136072</xdr:colOff>
      <xdr:row>95</xdr:row>
      <xdr:rowOff>95250</xdr:rowOff>
    </xdr:from>
    <xdr:to>
      <xdr:col>2</xdr:col>
      <xdr:colOff>895144</xdr:colOff>
      <xdr:row>95</xdr:row>
      <xdr:rowOff>1074964</xdr:rowOff>
    </xdr:to>
    <xdr:pic>
      <xdr:nvPicPr>
        <xdr:cNvPr id="49" name="Imagen 65">
          <a:extLst>
            <a:ext uri="{FF2B5EF4-FFF2-40B4-BE49-F238E27FC236}">
              <a16:creationId xmlns:a16="http://schemas.microsoft.com/office/drawing/2014/main" id="{E9BB7B6F-D75A-4D5B-9EDC-674444309318}"/>
            </a:ext>
          </a:extLst>
        </xdr:cNvPr>
        <xdr:cNvPicPr>
          <a:picLocks noChangeAspect="1"/>
        </xdr:cNvPicPr>
      </xdr:nvPicPr>
      <xdr:blipFill>
        <a:blip xmlns:r="http://schemas.openxmlformats.org/officeDocument/2006/relationships" r:embed="rId5"/>
        <a:stretch>
          <a:fillRect/>
        </a:stretch>
      </xdr:blipFill>
      <xdr:spPr>
        <a:xfrm>
          <a:off x="855739" y="36660667"/>
          <a:ext cx="759072" cy="979714"/>
        </a:xfrm>
        <a:prstGeom prst="rect">
          <a:avLst/>
        </a:prstGeom>
      </xdr:spPr>
    </xdr:pic>
    <xdr:clientData/>
  </xdr:twoCellAnchor>
  <xdr:twoCellAnchor>
    <xdr:from>
      <xdr:col>2</xdr:col>
      <xdr:colOff>163286</xdr:colOff>
      <xdr:row>97</xdr:row>
      <xdr:rowOff>81642</xdr:rowOff>
    </xdr:from>
    <xdr:to>
      <xdr:col>2</xdr:col>
      <xdr:colOff>922358</xdr:colOff>
      <xdr:row>97</xdr:row>
      <xdr:rowOff>1061356</xdr:rowOff>
    </xdr:to>
    <xdr:pic>
      <xdr:nvPicPr>
        <xdr:cNvPr id="50" name="Imagen 67">
          <a:extLst>
            <a:ext uri="{FF2B5EF4-FFF2-40B4-BE49-F238E27FC236}">
              <a16:creationId xmlns:a16="http://schemas.microsoft.com/office/drawing/2014/main" id="{E8DE52BA-92C2-4E70-826F-47396AFF9F67}"/>
            </a:ext>
          </a:extLst>
        </xdr:cNvPr>
        <xdr:cNvPicPr>
          <a:picLocks noChangeAspect="1"/>
        </xdr:cNvPicPr>
      </xdr:nvPicPr>
      <xdr:blipFill>
        <a:blip xmlns:r="http://schemas.openxmlformats.org/officeDocument/2006/relationships" r:embed="rId5"/>
        <a:stretch>
          <a:fillRect/>
        </a:stretch>
      </xdr:blipFill>
      <xdr:spPr>
        <a:xfrm>
          <a:off x="882953" y="38985975"/>
          <a:ext cx="759072" cy="979714"/>
        </a:xfrm>
        <a:prstGeom prst="rect">
          <a:avLst/>
        </a:prstGeom>
      </xdr:spPr>
    </xdr:pic>
    <xdr:clientData/>
  </xdr:twoCellAnchor>
  <xdr:twoCellAnchor>
    <xdr:from>
      <xdr:col>2</xdr:col>
      <xdr:colOff>204108</xdr:colOff>
      <xdr:row>101</xdr:row>
      <xdr:rowOff>81643</xdr:rowOff>
    </xdr:from>
    <xdr:to>
      <xdr:col>2</xdr:col>
      <xdr:colOff>936420</xdr:colOff>
      <xdr:row>101</xdr:row>
      <xdr:rowOff>1006928</xdr:rowOff>
    </xdr:to>
    <xdr:pic>
      <xdr:nvPicPr>
        <xdr:cNvPr id="51" name="Picture 42">
          <a:extLst>
            <a:ext uri="{FF2B5EF4-FFF2-40B4-BE49-F238E27FC236}">
              <a16:creationId xmlns:a16="http://schemas.microsoft.com/office/drawing/2014/main" id="{23BF09CF-0ACB-4554-98E3-EDFC269EDB5A}"/>
            </a:ext>
          </a:extLst>
        </xdr:cNvPr>
        <xdr:cNvPicPr>
          <a:picLocks noChangeAspect="1"/>
        </xdr:cNvPicPr>
      </xdr:nvPicPr>
      <xdr:blipFill>
        <a:blip xmlns:r="http://schemas.openxmlformats.org/officeDocument/2006/relationships" r:embed="rId19"/>
        <a:stretch>
          <a:fillRect/>
        </a:stretch>
      </xdr:blipFill>
      <xdr:spPr>
        <a:xfrm>
          <a:off x="923775" y="51431976"/>
          <a:ext cx="732312" cy="925285"/>
        </a:xfrm>
        <a:prstGeom prst="rect">
          <a:avLst/>
        </a:prstGeom>
      </xdr:spPr>
    </xdr:pic>
    <xdr:clientData/>
  </xdr:twoCellAnchor>
  <xdr:twoCellAnchor>
    <xdr:from>
      <xdr:col>2</xdr:col>
      <xdr:colOff>136071</xdr:colOff>
      <xdr:row>102</xdr:row>
      <xdr:rowOff>54429</xdr:rowOff>
    </xdr:from>
    <xdr:to>
      <xdr:col>2</xdr:col>
      <xdr:colOff>939670</xdr:colOff>
      <xdr:row>102</xdr:row>
      <xdr:rowOff>993322</xdr:rowOff>
    </xdr:to>
    <xdr:pic>
      <xdr:nvPicPr>
        <xdr:cNvPr id="55" name="Picture 51">
          <a:extLst>
            <a:ext uri="{FF2B5EF4-FFF2-40B4-BE49-F238E27FC236}">
              <a16:creationId xmlns:a16="http://schemas.microsoft.com/office/drawing/2014/main" id="{10AAC2AF-3476-4D87-861E-47A9BA498303}"/>
            </a:ext>
          </a:extLst>
        </xdr:cNvPr>
        <xdr:cNvPicPr>
          <a:picLocks noChangeAspect="1"/>
        </xdr:cNvPicPr>
      </xdr:nvPicPr>
      <xdr:blipFill>
        <a:blip xmlns:r="http://schemas.openxmlformats.org/officeDocument/2006/relationships" r:embed="rId20"/>
        <a:stretch>
          <a:fillRect/>
        </a:stretch>
      </xdr:blipFill>
      <xdr:spPr>
        <a:xfrm>
          <a:off x="855738" y="52463096"/>
          <a:ext cx="803599" cy="938893"/>
        </a:xfrm>
        <a:prstGeom prst="rect">
          <a:avLst/>
        </a:prstGeom>
      </xdr:spPr>
    </xdr:pic>
    <xdr:clientData/>
  </xdr:twoCellAnchor>
  <xdr:twoCellAnchor>
    <xdr:from>
      <xdr:col>2</xdr:col>
      <xdr:colOff>134561</xdr:colOff>
      <xdr:row>104</xdr:row>
      <xdr:rowOff>54428</xdr:rowOff>
    </xdr:from>
    <xdr:to>
      <xdr:col>2</xdr:col>
      <xdr:colOff>938160</xdr:colOff>
      <xdr:row>104</xdr:row>
      <xdr:rowOff>993321</xdr:rowOff>
    </xdr:to>
    <xdr:pic>
      <xdr:nvPicPr>
        <xdr:cNvPr id="57" name="Picture 53">
          <a:extLst>
            <a:ext uri="{FF2B5EF4-FFF2-40B4-BE49-F238E27FC236}">
              <a16:creationId xmlns:a16="http://schemas.microsoft.com/office/drawing/2014/main" id="{AF66B960-354C-404D-B0D5-7267DB29B8CC}"/>
            </a:ext>
          </a:extLst>
        </xdr:cNvPr>
        <xdr:cNvPicPr>
          <a:picLocks noChangeAspect="1"/>
        </xdr:cNvPicPr>
      </xdr:nvPicPr>
      <xdr:blipFill>
        <a:blip xmlns:r="http://schemas.openxmlformats.org/officeDocument/2006/relationships" r:embed="rId20"/>
        <a:stretch>
          <a:fillRect/>
        </a:stretch>
      </xdr:blipFill>
      <xdr:spPr>
        <a:xfrm>
          <a:off x="854228" y="54685595"/>
          <a:ext cx="803599" cy="938893"/>
        </a:xfrm>
        <a:prstGeom prst="rect">
          <a:avLst/>
        </a:prstGeom>
      </xdr:spPr>
    </xdr:pic>
    <xdr:clientData/>
  </xdr:twoCellAnchor>
  <xdr:twoCellAnchor>
    <xdr:from>
      <xdr:col>2</xdr:col>
      <xdr:colOff>134257</xdr:colOff>
      <xdr:row>103</xdr:row>
      <xdr:rowOff>96459</xdr:rowOff>
    </xdr:from>
    <xdr:to>
      <xdr:col>2</xdr:col>
      <xdr:colOff>899582</xdr:colOff>
      <xdr:row>103</xdr:row>
      <xdr:rowOff>1063456</xdr:rowOff>
    </xdr:to>
    <xdr:pic>
      <xdr:nvPicPr>
        <xdr:cNvPr id="96" name="Picture 42">
          <a:extLst>
            <a:ext uri="{FF2B5EF4-FFF2-40B4-BE49-F238E27FC236}">
              <a16:creationId xmlns:a16="http://schemas.microsoft.com/office/drawing/2014/main" id="{B95FFB70-3F76-4F04-BFF7-504F966C08C5}"/>
            </a:ext>
          </a:extLst>
        </xdr:cNvPr>
        <xdr:cNvPicPr>
          <a:picLocks noChangeAspect="1"/>
        </xdr:cNvPicPr>
      </xdr:nvPicPr>
      <xdr:blipFill>
        <a:blip xmlns:r="http://schemas.openxmlformats.org/officeDocument/2006/relationships" r:embed="rId19"/>
        <a:stretch>
          <a:fillRect/>
        </a:stretch>
      </xdr:blipFill>
      <xdr:spPr>
        <a:xfrm>
          <a:off x="853924" y="53552876"/>
          <a:ext cx="765325" cy="966997"/>
        </a:xfrm>
        <a:prstGeom prst="rect">
          <a:avLst/>
        </a:prstGeom>
      </xdr:spPr>
    </xdr:pic>
    <xdr:clientData/>
  </xdr:twoCellAnchor>
  <xdr:twoCellAnchor>
    <xdr:from>
      <xdr:col>2</xdr:col>
      <xdr:colOff>96365</xdr:colOff>
      <xdr:row>175</xdr:row>
      <xdr:rowOff>59598</xdr:rowOff>
    </xdr:from>
    <xdr:to>
      <xdr:col>2</xdr:col>
      <xdr:colOff>1000692</xdr:colOff>
      <xdr:row>175</xdr:row>
      <xdr:rowOff>865455</xdr:rowOff>
    </xdr:to>
    <xdr:pic>
      <xdr:nvPicPr>
        <xdr:cNvPr id="101" name="Imagen 26" descr="Un refrigerador con la puerta abierta&#10;&#10;Descripción generada automáticamente con confianza baja">
          <a:extLst>
            <a:ext uri="{FF2B5EF4-FFF2-40B4-BE49-F238E27FC236}">
              <a16:creationId xmlns:a16="http://schemas.microsoft.com/office/drawing/2014/main" id="{F0EAFCBE-EC8A-4B30-A39E-25E31BBBB9DA}"/>
            </a:ext>
          </a:extLst>
        </xdr:cNvPr>
        <xdr:cNvPicPr>
          <a:picLocks noChangeAspect="1"/>
        </xdr:cNvPicPr>
      </xdr:nvPicPr>
      <xdr:blipFill rotWithShape="1">
        <a:blip xmlns:r="http://schemas.openxmlformats.org/officeDocument/2006/relationships" r:embed="rId43" cstate="print">
          <a:extLst>
            <a:ext uri="{28A0092B-C50C-407E-A947-70E740481C1C}">
              <a14:useLocalDpi xmlns:a14="http://schemas.microsoft.com/office/drawing/2010/main" val="0"/>
            </a:ext>
          </a:extLst>
        </a:blip>
        <a:srcRect l="48514" t="18972" r="25101" b="64164"/>
        <a:stretch/>
      </xdr:blipFill>
      <xdr:spPr>
        <a:xfrm>
          <a:off x="818260" y="106198177"/>
          <a:ext cx="904327" cy="805857"/>
        </a:xfrm>
        <a:prstGeom prst="rect">
          <a:avLst/>
        </a:prstGeom>
      </xdr:spPr>
    </xdr:pic>
    <xdr:clientData/>
  </xdr:twoCellAnchor>
  <xdr:twoCellAnchor>
    <xdr:from>
      <xdr:col>2</xdr:col>
      <xdr:colOff>100599</xdr:colOff>
      <xdr:row>176</xdr:row>
      <xdr:rowOff>71073</xdr:rowOff>
    </xdr:from>
    <xdr:to>
      <xdr:col>2</xdr:col>
      <xdr:colOff>1004926</xdr:colOff>
      <xdr:row>176</xdr:row>
      <xdr:rowOff>877487</xdr:rowOff>
    </xdr:to>
    <xdr:pic>
      <xdr:nvPicPr>
        <xdr:cNvPr id="102" name="Imagen 26" descr="Un refrigerador con la puerta abierta&#10;&#10;Descripción generada automáticamente con confianza baja">
          <a:extLst>
            <a:ext uri="{FF2B5EF4-FFF2-40B4-BE49-F238E27FC236}">
              <a16:creationId xmlns:a16="http://schemas.microsoft.com/office/drawing/2014/main" id="{B349A6D5-4561-4975-9201-AF31A93BB18B}"/>
            </a:ext>
          </a:extLst>
        </xdr:cNvPr>
        <xdr:cNvPicPr>
          <a:picLocks noChangeAspect="1"/>
        </xdr:cNvPicPr>
      </xdr:nvPicPr>
      <xdr:blipFill rotWithShape="1">
        <a:blip xmlns:r="http://schemas.openxmlformats.org/officeDocument/2006/relationships" r:embed="rId43" cstate="print">
          <a:extLst>
            <a:ext uri="{28A0092B-C50C-407E-A947-70E740481C1C}">
              <a14:useLocalDpi xmlns:a14="http://schemas.microsoft.com/office/drawing/2010/main" val="0"/>
            </a:ext>
          </a:extLst>
        </a:blip>
        <a:srcRect l="48514" t="18972" r="25101" b="64164"/>
        <a:stretch/>
      </xdr:blipFill>
      <xdr:spPr>
        <a:xfrm>
          <a:off x="822494" y="107172178"/>
          <a:ext cx="904327" cy="806414"/>
        </a:xfrm>
        <a:prstGeom prst="rect">
          <a:avLst/>
        </a:prstGeom>
      </xdr:spPr>
    </xdr:pic>
    <xdr:clientData/>
  </xdr:twoCellAnchor>
  <xdr:twoCellAnchor>
    <xdr:from>
      <xdr:col>2</xdr:col>
      <xdr:colOff>180257</xdr:colOff>
      <xdr:row>121</xdr:row>
      <xdr:rowOff>21166</xdr:rowOff>
    </xdr:from>
    <xdr:to>
      <xdr:col>2</xdr:col>
      <xdr:colOff>887828</xdr:colOff>
      <xdr:row>121</xdr:row>
      <xdr:rowOff>245806</xdr:rowOff>
    </xdr:to>
    <xdr:pic>
      <xdr:nvPicPr>
        <xdr:cNvPr id="53" name="Imagen 52">
          <a:extLst>
            <a:ext uri="{FF2B5EF4-FFF2-40B4-BE49-F238E27FC236}">
              <a16:creationId xmlns:a16="http://schemas.microsoft.com/office/drawing/2014/main" id="{61EEA83E-6545-4623-92AD-80CF6DA7021E}"/>
            </a:ext>
          </a:extLst>
        </xdr:cNvPr>
        <xdr:cNvPicPr>
          <a:picLocks noChangeAspect="1"/>
        </xdr:cNvPicPr>
      </xdr:nvPicPr>
      <xdr:blipFill>
        <a:blip xmlns:r="http://schemas.openxmlformats.org/officeDocument/2006/relationships" r:embed="rId44"/>
        <a:stretch>
          <a:fillRect/>
        </a:stretch>
      </xdr:blipFill>
      <xdr:spPr>
        <a:xfrm>
          <a:off x="1009854" y="11676489"/>
          <a:ext cx="707571" cy="224640"/>
        </a:xfrm>
        <a:prstGeom prst="rect">
          <a:avLst/>
        </a:prstGeom>
      </xdr:spPr>
    </xdr:pic>
    <xdr:clientData/>
  </xdr:twoCellAnchor>
  <xdr:twoCellAnchor>
    <xdr:from>
      <xdr:col>2</xdr:col>
      <xdr:colOff>127000</xdr:colOff>
      <xdr:row>108</xdr:row>
      <xdr:rowOff>52916</xdr:rowOff>
    </xdr:from>
    <xdr:to>
      <xdr:col>2</xdr:col>
      <xdr:colOff>852492</xdr:colOff>
      <xdr:row>108</xdr:row>
      <xdr:rowOff>1745004</xdr:rowOff>
    </xdr:to>
    <xdr:pic>
      <xdr:nvPicPr>
        <xdr:cNvPr id="20" name="Imagen 19">
          <a:extLst>
            <a:ext uri="{FF2B5EF4-FFF2-40B4-BE49-F238E27FC236}">
              <a16:creationId xmlns:a16="http://schemas.microsoft.com/office/drawing/2014/main" id="{8F5FC8DE-8C57-4B53-A074-687B47A656BF}"/>
            </a:ext>
          </a:extLst>
        </xdr:cNvPr>
        <xdr:cNvPicPr>
          <a:picLocks noChangeAspect="1"/>
        </xdr:cNvPicPr>
      </xdr:nvPicPr>
      <xdr:blipFill>
        <a:blip xmlns:r="http://schemas.openxmlformats.org/officeDocument/2006/relationships" r:embed="rId45"/>
        <a:stretch>
          <a:fillRect/>
        </a:stretch>
      </xdr:blipFill>
      <xdr:spPr>
        <a:xfrm>
          <a:off x="846667" y="55975249"/>
          <a:ext cx="725492" cy="1692088"/>
        </a:xfrm>
        <a:prstGeom prst="rect">
          <a:avLst/>
        </a:prstGeom>
      </xdr:spPr>
    </xdr:pic>
    <xdr:clientData/>
  </xdr:twoCellAnchor>
  <xdr:twoCellAnchor>
    <xdr:from>
      <xdr:col>2</xdr:col>
      <xdr:colOff>141817</xdr:colOff>
      <xdr:row>109</xdr:row>
      <xdr:rowOff>44893</xdr:rowOff>
    </xdr:from>
    <xdr:to>
      <xdr:col>2</xdr:col>
      <xdr:colOff>867309</xdr:colOff>
      <xdr:row>109</xdr:row>
      <xdr:rowOff>1736981</xdr:rowOff>
    </xdr:to>
    <xdr:pic>
      <xdr:nvPicPr>
        <xdr:cNvPr id="58" name="Imagen 57">
          <a:extLst>
            <a:ext uri="{FF2B5EF4-FFF2-40B4-BE49-F238E27FC236}">
              <a16:creationId xmlns:a16="http://schemas.microsoft.com/office/drawing/2014/main" id="{E59F8B65-A05E-45F5-85E4-15A1FA675913}"/>
            </a:ext>
          </a:extLst>
        </xdr:cNvPr>
        <xdr:cNvPicPr>
          <a:picLocks noChangeAspect="1"/>
        </xdr:cNvPicPr>
      </xdr:nvPicPr>
      <xdr:blipFill>
        <a:blip xmlns:r="http://schemas.openxmlformats.org/officeDocument/2006/relationships" r:embed="rId45"/>
        <a:stretch>
          <a:fillRect/>
        </a:stretch>
      </xdr:blipFill>
      <xdr:spPr>
        <a:xfrm>
          <a:off x="863712" y="59460840"/>
          <a:ext cx="725492" cy="1692088"/>
        </a:xfrm>
        <a:prstGeom prst="rect">
          <a:avLst/>
        </a:prstGeom>
      </xdr:spPr>
    </xdr:pic>
    <xdr:clientData/>
  </xdr:twoCellAnchor>
  <xdr:twoCellAnchor>
    <xdr:from>
      <xdr:col>2</xdr:col>
      <xdr:colOff>50132</xdr:colOff>
      <xdr:row>48</xdr:row>
      <xdr:rowOff>50131</xdr:rowOff>
    </xdr:from>
    <xdr:to>
      <xdr:col>2</xdr:col>
      <xdr:colOff>1002632</xdr:colOff>
      <xdr:row>51</xdr:row>
      <xdr:rowOff>176529</xdr:rowOff>
    </xdr:to>
    <xdr:pic>
      <xdr:nvPicPr>
        <xdr:cNvPr id="113" name="Imagen 112">
          <a:extLst>
            <a:ext uri="{FF2B5EF4-FFF2-40B4-BE49-F238E27FC236}">
              <a16:creationId xmlns:a16="http://schemas.microsoft.com/office/drawing/2014/main" id="{9908880B-22E5-4B06-8AA0-5EB56DF08612}"/>
            </a:ext>
          </a:extLst>
        </xdr:cNvPr>
        <xdr:cNvPicPr>
          <a:picLocks noChangeAspect="1"/>
        </xdr:cNvPicPr>
      </xdr:nvPicPr>
      <xdr:blipFill>
        <a:blip xmlns:r="http://schemas.openxmlformats.org/officeDocument/2006/relationships" r:embed="rId46"/>
        <a:stretch>
          <a:fillRect/>
        </a:stretch>
      </xdr:blipFill>
      <xdr:spPr>
        <a:xfrm>
          <a:off x="772027" y="21406184"/>
          <a:ext cx="952500" cy="818213"/>
        </a:xfrm>
        <a:prstGeom prst="rect">
          <a:avLst/>
        </a:prstGeom>
      </xdr:spPr>
    </xdr:pic>
    <xdr:clientData/>
  </xdr:twoCellAnchor>
  <xdr:twoCellAnchor>
    <xdr:from>
      <xdr:col>2</xdr:col>
      <xdr:colOff>90235</xdr:colOff>
      <xdr:row>160</xdr:row>
      <xdr:rowOff>10026</xdr:rowOff>
    </xdr:from>
    <xdr:to>
      <xdr:col>2</xdr:col>
      <xdr:colOff>1008685</xdr:colOff>
      <xdr:row>160</xdr:row>
      <xdr:rowOff>2029325</xdr:rowOff>
    </xdr:to>
    <xdr:pic>
      <xdr:nvPicPr>
        <xdr:cNvPr id="90" name="Imagen 89">
          <a:extLst>
            <a:ext uri="{FF2B5EF4-FFF2-40B4-BE49-F238E27FC236}">
              <a16:creationId xmlns:a16="http://schemas.microsoft.com/office/drawing/2014/main" id="{E65540F6-A3E5-4568-AA9B-CE26BBC9FBB3}"/>
            </a:ext>
          </a:extLst>
        </xdr:cNvPr>
        <xdr:cNvPicPr>
          <a:picLocks noChangeAspect="1"/>
        </xdr:cNvPicPr>
      </xdr:nvPicPr>
      <xdr:blipFill>
        <a:blip xmlns:r="http://schemas.openxmlformats.org/officeDocument/2006/relationships" r:embed="rId47"/>
        <a:stretch>
          <a:fillRect/>
        </a:stretch>
      </xdr:blipFill>
      <xdr:spPr>
        <a:xfrm>
          <a:off x="812130" y="90617842"/>
          <a:ext cx="918450" cy="2019299"/>
        </a:xfrm>
        <a:prstGeom prst="rect">
          <a:avLst/>
        </a:prstGeom>
      </xdr:spPr>
    </xdr:pic>
    <xdr:clientData/>
  </xdr:twoCellAnchor>
  <xdr:twoCellAnchor>
    <xdr:from>
      <xdr:col>2</xdr:col>
      <xdr:colOff>80210</xdr:colOff>
      <xdr:row>161</xdr:row>
      <xdr:rowOff>70185</xdr:rowOff>
    </xdr:from>
    <xdr:to>
      <xdr:col>2</xdr:col>
      <xdr:colOff>1021180</xdr:colOff>
      <xdr:row>161</xdr:row>
      <xdr:rowOff>1724439</xdr:rowOff>
    </xdr:to>
    <xdr:pic>
      <xdr:nvPicPr>
        <xdr:cNvPr id="91" name="Imagen 90">
          <a:extLst>
            <a:ext uri="{FF2B5EF4-FFF2-40B4-BE49-F238E27FC236}">
              <a16:creationId xmlns:a16="http://schemas.microsoft.com/office/drawing/2014/main" id="{A3B5E8CF-70C1-4D59-80DE-C94B36F87C5E}"/>
            </a:ext>
          </a:extLst>
        </xdr:cNvPr>
        <xdr:cNvPicPr>
          <a:picLocks noChangeAspect="1"/>
        </xdr:cNvPicPr>
      </xdr:nvPicPr>
      <xdr:blipFill>
        <a:blip xmlns:r="http://schemas.openxmlformats.org/officeDocument/2006/relationships" r:embed="rId48"/>
        <a:stretch>
          <a:fillRect/>
        </a:stretch>
      </xdr:blipFill>
      <xdr:spPr>
        <a:xfrm flipH="1">
          <a:off x="802105" y="92743422"/>
          <a:ext cx="940970" cy="1654254"/>
        </a:xfrm>
        <a:prstGeom prst="rect">
          <a:avLst/>
        </a:prstGeom>
      </xdr:spPr>
    </xdr:pic>
    <xdr:clientData/>
  </xdr:twoCellAnchor>
  <xdr:twoCellAnchor>
    <xdr:from>
      <xdr:col>2</xdr:col>
      <xdr:colOff>60157</xdr:colOff>
      <xdr:row>162</xdr:row>
      <xdr:rowOff>10027</xdr:rowOff>
    </xdr:from>
    <xdr:to>
      <xdr:col>2</xdr:col>
      <xdr:colOff>1017718</xdr:colOff>
      <xdr:row>162</xdr:row>
      <xdr:rowOff>1648328</xdr:rowOff>
    </xdr:to>
    <xdr:pic>
      <xdr:nvPicPr>
        <xdr:cNvPr id="92" name="Imagen 91">
          <a:extLst>
            <a:ext uri="{FF2B5EF4-FFF2-40B4-BE49-F238E27FC236}">
              <a16:creationId xmlns:a16="http://schemas.microsoft.com/office/drawing/2014/main" id="{3C7C4231-47F5-441D-BDC2-39C66167F30B}"/>
            </a:ext>
          </a:extLst>
        </xdr:cNvPr>
        <xdr:cNvPicPr>
          <a:picLocks noChangeAspect="1"/>
        </xdr:cNvPicPr>
      </xdr:nvPicPr>
      <xdr:blipFill>
        <a:blip xmlns:r="http://schemas.openxmlformats.org/officeDocument/2006/relationships" r:embed="rId49"/>
        <a:stretch>
          <a:fillRect/>
        </a:stretch>
      </xdr:blipFill>
      <xdr:spPr>
        <a:xfrm flipH="1">
          <a:off x="782052" y="94608316"/>
          <a:ext cx="957561" cy="1638301"/>
        </a:xfrm>
        <a:prstGeom prst="rect">
          <a:avLst/>
        </a:prstGeom>
      </xdr:spPr>
    </xdr:pic>
    <xdr:clientData/>
  </xdr:twoCellAnchor>
  <xdr:twoCellAnchor>
    <xdr:from>
      <xdr:col>2</xdr:col>
      <xdr:colOff>80210</xdr:colOff>
      <xdr:row>163</xdr:row>
      <xdr:rowOff>40105</xdr:rowOff>
    </xdr:from>
    <xdr:to>
      <xdr:col>2</xdr:col>
      <xdr:colOff>1012658</xdr:colOff>
      <xdr:row>164</xdr:row>
      <xdr:rowOff>3999</xdr:rowOff>
    </xdr:to>
    <xdr:pic>
      <xdr:nvPicPr>
        <xdr:cNvPr id="114" name="Imagen 113">
          <a:extLst>
            <a:ext uri="{FF2B5EF4-FFF2-40B4-BE49-F238E27FC236}">
              <a16:creationId xmlns:a16="http://schemas.microsoft.com/office/drawing/2014/main" id="{90A379C5-E284-476F-A2F6-51A044D2CDE5}"/>
            </a:ext>
          </a:extLst>
        </xdr:cNvPr>
        <xdr:cNvPicPr>
          <a:picLocks noChangeAspect="1"/>
        </xdr:cNvPicPr>
      </xdr:nvPicPr>
      <xdr:blipFill rotWithShape="1">
        <a:blip xmlns:r="http://schemas.openxmlformats.org/officeDocument/2006/relationships" r:embed="rId50"/>
        <a:srcRect l="8617" r="11191"/>
        <a:stretch/>
      </xdr:blipFill>
      <xdr:spPr>
        <a:xfrm>
          <a:off x="802105" y="96212526"/>
          <a:ext cx="932448" cy="1588157"/>
        </a:xfrm>
        <a:prstGeom prst="rect">
          <a:avLst/>
        </a:prstGeom>
      </xdr:spPr>
    </xdr:pic>
    <xdr:clientData/>
  </xdr:twoCellAnchor>
  <xdr:twoCellAnchor>
    <xdr:from>
      <xdr:col>2</xdr:col>
      <xdr:colOff>149615</xdr:colOff>
      <xdr:row>110</xdr:row>
      <xdr:rowOff>43225</xdr:rowOff>
    </xdr:from>
    <xdr:to>
      <xdr:col>2</xdr:col>
      <xdr:colOff>875107</xdr:colOff>
      <xdr:row>110</xdr:row>
      <xdr:rowOff>1735313</xdr:rowOff>
    </xdr:to>
    <xdr:pic>
      <xdr:nvPicPr>
        <xdr:cNvPr id="88" name="Imagen 87">
          <a:extLst>
            <a:ext uri="{FF2B5EF4-FFF2-40B4-BE49-F238E27FC236}">
              <a16:creationId xmlns:a16="http://schemas.microsoft.com/office/drawing/2014/main" id="{33C39C12-AEB5-4963-B5A9-7D27ED50959A}"/>
            </a:ext>
          </a:extLst>
        </xdr:cNvPr>
        <xdr:cNvPicPr>
          <a:picLocks noChangeAspect="1"/>
        </xdr:cNvPicPr>
      </xdr:nvPicPr>
      <xdr:blipFill>
        <a:blip xmlns:r="http://schemas.openxmlformats.org/officeDocument/2006/relationships" r:embed="rId45"/>
        <a:stretch>
          <a:fillRect/>
        </a:stretch>
      </xdr:blipFill>
      <xdr:spPr>
        <a:xfrm>
          <a:off x="871510" y="61223804"/>
          <a:ext cx="725492" cy="1692088"/>
        </a:xfrm>
        <a:prstGeom prst="rect">
          <a:avLst/>
        </a:prstGeom>
      </xdr:spPr>
    </xdr:pic>
    <xdr:clientData/>
  </xdr:twoCellAnchor>
  <xdr:twoCellAnchor>
    <xdr:from>
      <xdr:col>2</xdr:col>
      <xdr:colOff>150395</xdr:colOff>
      <xdr:row>111</xdr:row>
      <xdr:rowOff>50131</xdr:rowOff>
    </xdr:from>
    <xdr:to>
      <xdr:col>2</xdr:col>
      <xdr:colOff>875887</xdr:colOff>
      <xdr:row>111</xdr:row>
      <xdr:rowOff>1742219</xdr:rowOff>
    </xdr:to>
    <xdr:pic>
      <xdr:nvPicPr>
        <xdr:cNvPr id="89" name="Imagen 88">
          <a:extLst>
            <a:ext uri="{FF2B5EF4-FFF2-40B4-BE49-F238E27FC236}">
              <a16:creationId xmlns:a16="http://schemas.microsoft.com/office/drawing/2014/main" id="{B3241AE8-1C85-4879-8294-97FD81E33865}"/>
            </a:ext>
          </a:extLst>
        </xdr:cNvPr>
        <xdr:cNvPicPr>
          <a:picLocks noChangeAspect="1"/>
        </xdr:cNvPicPr>
      </xdr:nvPicPr>
      <xdr:blipFill>
        <a:blip xmlns:r="http://schemas.openxmlformats.org/officeDocument/2006/relationships" r:embed="rId45"/>
        <a:stretch>
          <a:fillRect/>
        </a:stretch>
      </xdr:blipFill>
      <xdr:spPr>
        <a:xfrm>
          <a:off x="872290" y="62995342"/>
          <a:ext cx="725492" cy="1692088"/>
        </a:xfrm>
        <a:prstGeom prst="rect">
          <a:avLst/>
        </a:prstGeom>
      </xdr:spPr>
    </xdr:pic>
    <xdr:clientData/>
  </xdr:twoCellAnchor>
  <xdr:twoCellAnchor>
    <xdr:from>
      <xdr:col>2</xdr:col>
      <xdr:colOff>140146</xdr:colOff>
      <xdr:row>148</xdr:row>
      <xdr:rowOff>47124</xdr:rowOff>
    </xdr:from>
    <xdr:to>
      <xdr:col>2</xdr:col>
      <xdr:colOff>923311</xdr:colOff>
      <xdr:row>148</xdr:row>
      <xdr:rowOff>1175083</xdr:rowOff>
    </xdr:to>
    <xdr:pic>
      <xdr:nvPicPr>
        <xdr:cNvPr id="93" name="Imagen 23">
          <a:extLst>
            <a:ext uri="{FF2B5EF4-FFF2-40B4-BE49-F238E27FC236}">
              <a16:creationId xmlns:a16="http://schemas.microsoft.com/office/drawing/2014/main" id="{C2E984DC-5597-4C16-80AC-73095DD1C509}"/>
            </a:ext>
          </a:extLst>
        </xdr:cNvPr>
        <xdr:cNvPicPr>
          <a:picLocks noChangeAspect="1"/>
        </xdr:cNvPicPr>
      </xdr:nvPicPr>
      <xdr:blipFill>
        <a:blip xmlns:r="http://schemas.openxmlformats.org/officeDocument/2006/relationships" r:embed="rId38">
          <a:extLst>
            <a:ext uri="{BEBA8EAE-BF5A-486C-A8C5-ECC9F3942E4B}">
              <a14:imgProps xmlns:a14="http://schemas.microsoft.com/office/drawing/2010/main">
                <a14:imgLayer r:embed="rId39">
                  <a14:imgEffect>
                    <a14:brightnessContrast bright="21000" contrast="-10000"/>
                  </a14:imgEffect>
                </a14:imgLayer>
              </a14:imgProps>
            </a:ext>
          </a:extLst>
        </a:blip>
        <a:stretch>
          <a:fillRect/>
        </a:stretch>
      </xdr:blipFill>
      <xdr:spPr>
        <a:xfrm>
          <a:off x="862041" y="87346256"/>
          <a:ext cx="783165" cy="1127959"/>
        </a:xfrm>
        <a:prstGeom prst="rect">
          <a:avLst/>
        </a:prstGeom>
      </xdr:spPr>
    </xdr:pic>
    <xdr:clientData/>
  </xdr:twoCellAnchor>
  <xdr:twoCellAnchor>
    <xdr:from>
      <xdr:col>2</xdr:col>
      <xdr:colOff>142152</xdr:colOff>
      <xdr:row>149</xdr:row>
      <xdr:rowOff>49130</xdr:rowOff>
    </xdr:from>
    <xdr:to>
      <xdr:col>2</xdr:col>
      <xdr:colOff>925317</xdr:colOff>
      <xdr:row>149</xdr:row>
      <xdr:rowOff>1177089</xdr:rowOff>
    </xdr:to>
    <xdr:pic>
      <xdr:nvPicPr>
        <xdr:cNvPr id="94" name="Imagen 23">
          <a:extLst>
            <a:ext uri="{FF2B5EF4-FFF2-40B4-BE49-F238E27FC236}">
              <a16:creationId xmlns:a16="http://schemas.microsoft.com/office/drawing/2014/main" id="{1010CFCC-64EC-4959-8B91-43440E7A89CD}"/>
            </a:ext>
          </a:extLst>
        </xdr:cNvPr>
        <xdr:cNvPicPr>
          <a:picLocks noChangeAspect="1"/>
        </xdr:cNvPicPr>
      </xdr:nvPicPr>
      <xdr:blipFill>
        <a:blip xmlns:r="http://schemas.openxmlformats.org/officeDocument/2006/relationships" r:embed="rId38">
          <a:extLst>
            <a:ext uri="{BEBA8EAE-BF5A-486C-A8C5-ECC9F3942E4B}">
              <a14:imgProps xmlns:a14="http://schemas.microsoft.com/office/drawing/2010/main">
                <a14:imgLayer r:embed="rId39">
                  <a14:imgEffect>
                    <a14:brightnessContrast bright="21000" contrast="-10000"/>
                  </a14:imgEffect>
                </a14:imgLayer>
              </a14:imgProps>
            </a:ext>
          </a:extLst>
        </a:blip>
        <a:stretch>
          <a:fillRect/>
        </a:stretch>
      </xdr:blipFill>
      <xdr:spPr>
        <a:xfrm>
          <a:off x="864047" y="88561446"/>
          <a:ext cx="783165" cy="1127959"/>
        </a:xfrm>
        <a:prstGeom prst="rect">
          <a:avLst/>
        </a:prstGeom>
      </xdr:spPr>
    </xdr:pic>
    <xdr:clientData/>
  </xdr:twoCellAnchor>
  <xdr:twoCellAnchor>
    <xdr:from>
      <xdr:col>2</xdr:col>
      <xdr:colOff>134130</xdr:colOff>
      <xdr:row>150</xdr:row>
      <xdr:rowOff>41109</xdr:rowOff>
    </xdr:from>
    <xdr:to>
      <xdr:col>2</xdr:col>
      <xdr:colOff>917295</xdr:colOff>
      <xdr:row>150</xdr:row>
      <xdr:rowOff>1169068</xdr:rowOff>
    </xdr:to>
    <xdr:pic>
      <xdr:nvPicPr>
        <xdr:cNvPr id="95" name="Imagen 23">
          <a:extLst>
            <a:ext uri="{FF2B5EF4-FFF2-40B4-BE49-F238E27FC236}">
              <a16:creationId xmlns:a16="http://schemas.microsoft.com/office/drawing/2014/main" id="{9679C7A9-F26A-48A3-BB2B-90C38FDAB2C4}"/>
            </a:ext>
          </a:extLst>
        </xdr:cNvPr>
        <xdr:cNvPicPr>
          <a:picLocks noChangeAspect="1"/>
        </xdr:cNvPicPr>
      </xdr:nvPicPr>
      <xdr:blipFill>
        <a:blip xmlns:r="http://schemas.openxmlformats.org/officeDocument/2006/relationships" r:embed="rId38">
          <a:extLst>
            <a:ext uri="{BEBA8EAE-BF5A-486C-A8C5-ECC9F3942E4B}">
              <a14:imgProps xmlns:a14="http://schemas.microsoft.com/office/drawing/2010/main">
                <a14:imgLayer r:embed="rId39">
                  <a14:imgEffect>
                    <a14:brightnessContrast bright="21000" contrast="-10000"/>
                  </a14:imgEffect>
                </a14:imgLayer>
              </a14:imgProps>
            </a:ext>
          </a:extLst>
        </a:blip>
        <a:stretch>
          <a:fillRect/>
        </a:stretch>
      </xdr:blipFill>
      <xdr:spPr>
        <a:xfrm>
          <a:off x="856025" y="89766609"/>
          <a:ext cx="783165" cy="1127959"/>
        </a:xfrm>
        <a:prstGeom prst="rect">
          <a:avLst/>
        </a:prstGeom>
      </xdr:spPr>
    </xdr:pic>
    <xdr:clientData/>
  </xdr:twoCellAnchor>
  <xdr:twoCellAnchor>
    <xdr:from>
      <xdr:col>2</xdr:col>
      <xdr:colOff>120316</xdr:colOff>
      <xdr:row>77</xdr:row>
      <xdr:rowOff>70184</xdr:rowOff>
    </xdr:from>
    <xdr:to>
      <xdr:col>2</xdr:col>
      <xdr:colOff>960942</xdr:colOff>
      <xdr:row>77</xdr:row>
      <xdr:rowOff>1024798</xdr:rowOff>
    </xdr:to>
    <xdr:pic>
      <xdr:nvPicPr>
        <xdr:cNvPr id="97" name="Imagen 96">
          <a:extLst>
            <a:ext uri="{FF2B5EF4-FFF2-40B4-BE49-F238E27FC236}">
              <a16:creationId xmlns:a16="http://schemas.microsoft.com/office/drawing/2014/main" id="{1DC7E6FB-C697-46BB-9CBB-FD7AF227B18D}"/>
            </a:ext>
          </a:extLst>
        </xdr:cNvPr>
        <xdr:cNvPicPr>
          <a:picLocks noChangeAspect="1"/>
        </xdr:cNvPicPr>
      </xdr:nvPicPr>
      <xdr:blipFill>
        <a:blip xmlns:r="http://schemas.openxmlformats.org/officeDocument/2006/relationships" r:embed="rId51">
          <a:extLst>
            <a:ext uri="{BEBA8EAE-BF5A-486C-A8C5-ECC9F3942E4B}">
              <a14:imgProps xmlns:a14="http://schemas.microsoft.com/office/drawing/2010/main">
                <a14:imgLayer r:embed="rId52">
                  <a14:imgEffect>
                    <a14:colorTemperature colorTemp="4971"/>
                  </a14:imgEffect>
                  <a14:imgEffect>
                    <a14:saturation sat="74000"/>
                  </a14:imgEffect>
                  <a14:imgEffect>
                    <a14:brightnessContrast bright="32000"/>
                  </a14:imgEffect>
                </a14:imgLayer>
              </a14:imgProps>
            </a:ext>
          </a:extLst>
        </a:blip>
        <a:stretch>
          <a:fillRect/>
        </a:stretch>
      </xdr:blipFill>
      <xdr:spPr>
        <a:xfrm>
          <a:off x="842211" y="36305289"/>
          <a:ext cx="840626" cy="954614"/>
        </a:xfrm>
        <a:prstGeom prst="rect">
          <a:avLst/>
        </a:prstGeom>
      </xdr:spPr>
    </xdr:pic>
    <xdr:clientData/>
  </xdr:twoCellAnchor>
  <xdr:twoCellAnchor>
    <xdr:from>
      <xdr:col>2</xdr:col>
      <xdr:colOff>91530</xdr:colOff>
      <xdr:row>222</xdr:row>
      <xdr:rowOff>60374</xdr:rowOff>
    </xdr:from>
    <xdr:to>
      <xdr:col>2</xdr:col>
      <xdr:colOff>964303</xdr:colOff>
      <xdr:row>222</xdr:row>
      <xdr:rowOff>891049</xdr:rowOff>
    </xdr:to>
    <xdr:pic>
      <xdr:nvPicPr>
        <xdr:cNvPr id="99" name="Imagen 98">
          <a:extLst>
            <a:ext uri="{FF2B5EF4-FFF2-40B4-BE49-F238E27FC236}">
              <a16:creationId xmlns:a16="http://schemas.microsoft.com/office/drawing/2014/main" id="{05BF44B7-D16E-4F19-B552-03CC23D1F0D8}"/>
            </a:ext>
          </a:extLst>
        </xdr:cNvPr>
        <xdr:cNvPicPr>
          <a:picLocks noChangeAspect="1"/>
        </xdr:cNvPicPr>
      </xdr:nvPicPr>
      <xdr:blipFill rotWithShape="1">
        <a:blip xmlns:r="http://schemas.openxmlformats.org/officeDocument/2006/relationships" r:embed="rId53"/>
        <a:srcRect t="4067" b="-1"/>
        <a:stretch/>
      </xdr:blipFill>
      <xdr:spPr>
        <a:xfrm>
          <a:off x="921127" y="139729648"/>
          <a:ext cx="872773" cy="830675"/>
        </a:xfrm>
        <a:prstGeom prst="rect">
          <a:avLst/>
        </a:prstGeom>
      </xdr:spPr>
    </xdr:pic>
    <xdr:clientData/>
  </xdr:twoCellAnchor>
  <xdr:twoCellAnchor>
    <xdr:from>
      <xdr:col>2</xdr:col>
      <xdr:colOff>110937</xdr:colOff>
      <xdr:row>227</xdr:row>
      <xdr:rowOff>80426</xdr:rowOff>
    </xdr:from>
    <xdr:to>
      <xdr:col>2</xdr:col>
      <xdr:colOff>965814</xdr:colOff>
      <xdr:row>227</xdr:row>
      <xdr:rowOff>891048</xdr:rowOff>
    </xdr:to>
    <xdr:pic>
      <xdr:nvPicPr>
        <xdr:cNvPr id="100" name="Imagen 99">
          <a:extLst>
            <a:ext uri="{FF2B5EF4-FFF2-40B4-BE49-F238E27FC236}">
              <a16:creationId xmlns:a16="http://schemas.microsoft.com/office/drawing/2014/main" id="{49E2C365-B5D5-4C1B-9673-B364B93E8D06}"/>
            </a:ext>
          </a:extLst>
        </xdr:cNvPr>
        <xdr:cNvPicPr>
          <a:picLocks noChangeAspect="1"/>
        </xdr:cNvPicPr>
      </xdr:nvPicPr>
      <xdr:blipFill>
        <a:blip xmlns:r="http://schemas.openxmlformats.org/officeDocument/2006/relationships" r:embed="rId54">
          <a:extLst>
            <a:ext uri="{BEBA8EAE-BF5A-486C-A8C5-ECC9F3942E4B}">
              <a14:imgProps xmlns:a14="http://schemas.microsoft.com/office/drawing/2010/main">
                <a14:imgLayer r:embed="rId55">
                  <a14:imgEffect>
                    <a14:sharpenSoften amount="46000"/>
                  </a14:imgEffect>
                </a14:imgLayer>
              </a14:imgProps>
            </a:ext>
          </a:extLst>
        </a:blip>
        <a:stretch>
          <a:fillRect/>
        </a:stretch>
      </xdr:blipFill>
      <xdr:spPr>
        <a:xfrm>
          <a:off x="940534" y="143303652"/>
          <a:ext cx="854877" cy="810622"/>
        </a:xfrm>
        <a:prstGeom prst="rect">
          <a:avLst/>
        </a:prstGeom>
      </xdr:spPr>
    </xdr:pic>
    <xdr:clientData/>
  </xdr:twoCellAnchor>
  <xdr:twoCellAnchor>
    <xdr:from>
      <xdr:col>2</xdr:col>
      <xdr:colOff>110290</xdr:colOff>
      <xdr:row>188</xdr:row>
      <xdr:rowOff>50132</xdr:rowOff>
    </xdr:from>
    <xdr:to>
      <xdr:col>2</xdr:col>
      <xdr:colOff>965438</xdr:colOff>
      <xdr:row>188</xdr:row>
      <xdr:rowOff>1091479</xdr:rowOff>
    </xdr:to>
    <xdr:pic>
      <xdr:nvPicPr>
        <xdr:cNvPr id="103" name="Imagen 102">
          <a:extLst>
            <a:ext uri="{FF2B5EF4-FFF2-40B4-BE49-F238E27FC236}">
              <a16:creationId xmlns:a16="http://schemas.microsoft.com/office/drawing/2014/main" id="{34B06109-D639-4AAE-AC1F-B83EF51A5B0B}"/>
            </a:ext>
          </a:extLst>
        </xdr:cNvPr>
        <xdr:cNvPicPr>
          <a:picLocks noChangeAspect="1"/>
        </xdr:cNvPicPr>
      </xdr:nvPicPr>
      <xdr:blipFill>
        <a:blip xmlns:r="http://schemas.openxmlformats.org/officeDocument/2006/relationships" r:embed="rId56"/>
        <a:stretch>
          <a:fillRect/>
        </a:stretch>
      </xdr:blipFill>
      <xdr:spPr>
        <a:xfrm>
          <a:off x="832185" y="110881027"/>
          <a:ext cx="855148" cy="1041347"/>
        </a:xfrm>
        <a:prstGeom prst="rect">
          <a:avLst/>
        </a:prstGeom>
      </xdr:spPr>
    </xdr:pic>
    <xdr:clientData/>
  </xdr:twoCellAnchor>
  <xdr:twoCellAnchor>
    <xdr:from>
      <xdr:col>2</xdr:col>
      <xdr:colOff>110290</xdr:colOff>
      <xdr:row>189</xdr:row>
      <xdr:rowOff>50132</xdr:rowOff>
    </xdr:from>
    <xdr:to>
      <xdr:col>2</xdr:col>
      <xdr:colOff>965438</xdr:colOff>
      <xdr:row>189</xdr:row>
      <xdr:rowOff>1091479</xdr:rowOff>
    </xdr:to>
    <xdr:pic>
      <xdr:nvPicPr>
        <xdr:cNvPr id="104" name="Imagen 103">
          <a:extLst>
            <a:ext uri="{FF2B5EF4-FFF2-40B4-BE49-F238E27FC236}">
              <a16:creationId xmlns:a16="http://schemas.microsoft.com/office/drawing/2014/main" id="{77A76AE8-CF0E-44BB-AD7E-C5F171EDF2E5}"/>
            </a:ext>
          </a:extLst>
        </xdr:cNvPr>
        <xdr:cNvPicPr>
          <a:picLocks noChangeAspect="1"/>
        </xdr:cNvPicPr>
      </xdr:nvPicPr>
      <xdr:blipFill>
        <a:blip xmlns:r="http://schemas.openxmlformats.org/officeDocument/2006/relationships" r:embed="rId56"/>
        <a:stretch>
          <a:fillRect/>
        </a:stretch>
      </xdr:blipFill>
      <xdr:spPr>
        <a:xfrm>
          <a:off x="832185" y="112044079"/>
          <a:ext cx="855148" cy="1041347"/>
        </a:xfrm>
        <a:prstGeom prst="rect">
          <a:avLst/>
        </a:prstGeom>
      </xdr:spPr>
    </xdr:pic>
    <xdr:clientData/>
  </xdr:twoCellAnchor>
  <xdr:twoCellAnchor>
    <xdr:from>
      <xdr:col>2</xdr:col>
      <xdr:colOff>120316</xdr:colOff>
      <xdr:row>190</xdr:row>
      <xdr:rowOff>50131</xdr:rowOff>
    </xdr:from>
    <xdr:to>
      <xdr:col>2</xdr:col>
      <xdr:colOff>957438</xdr:colOff>
      <xdr:row>190</xdr:row>
      <xdr:rowOff>1103484</xdr:rowOff>
    </xdr:to>
    <xdr:pic>
      <xdr:nvPicPr>
        <xdr:cNvPr id="105" name="Imagen 104">
          <a:extLst>
            <a:ext uri="{FF2B5EF4-FFF2-40B4-BE49-F238E27FC236}">
              <a16:creationId xmlns:a16="http://schemas.microsoft.com/office/drawing/2014/main" id="{F9F6B277-9C5F-4C6B-9E57-2DB897285866}"/>
            </a:ext>
          </a:extLst>
        </xdr:cNvPr>
        <xdr:cNvPicPr>
          <a:picLocks noChangeAspect="1"/>
        </xdr:cNvPicPr>
      </xdr:nvPicPr>
      <xdr:blipFill>
        <a:blip xmlns:r="http://schemas.openxmlformats.org/officeDocument/2006/relationships" r:embed="rId57">
          <a:extLst>
            <a:ext uri="{BEBA8EAE-BF5A-486C-A8C5-ECC9F3942E4B}">
              <a14:imgProps xmlns:a14="http://schemas.microsoft.com/office/drawing/2010/main">
                <a14:imgLayer r:embed="rId58">
                  <a14:imgEffect>
                    <a14:sharpenSoften amount="-39000"/>
                  </a14:imgEffect>
                  <a14:imgEffect>
                    <a14:saturation sat="49000"/>
                  </a14:imgEffect>
                  <a14:imgEffect>
                    <a14:brightnessContrast bright="10000"/>
                  </a14:imgEffect>
                </a14:imgLayer>
              </a14:imgProps>
            </a:ext>
          </a:extLst>
        </a:blip>
        <a:stretch>
          <a:fillRect/>
        </a:stretch>
      </xdr:blipFill>
      <xdr:spPr>
        <a:xfrm>
          <a:off x="842211" y="113207131"/>
          <a:ext cx="837122" cy="1053353"/>
        </a:xfrm>
        <a:prstGeom prst="rect">
          <a:avLst/>
        </a:prstGeom>
      </xdr:spPr>
    </xdr:pic>
    <xdr:clientData/>
  </xdr:twoCellAnchor>
  <xdr:twoCellAnchor>
    <xdr:from>
      <xdr:col>2</xdr:col>
      <xdr:colOff>130342</xdr:colOff>
      <xdr:row>171</xdr:row>
      <xdr:rowOff>70184</xdr:rowOff>
    </xdr:from>
    <xdr:to>
      <xdr:col>2</xdr:col>
      <xdr:colOff>892343</xdr:colOff>
      <xdr:row>171</xdr:row>
      <xdr:rowOff>1108040</xdr:rowOff>
    </xdr:to>
    <xdr:pic>
      <xdr:nvPicPr>
        <xdr:cNvPr id="106" name="Imagen 105">
          <a:extLst>
            <a:ext uri="{FF2B5EF4-FFF2-40B4-BE49-F238E27FC236}">
              <a16:creationId xmlns:a16="http://schemas.microsoft.com/office/drawing/2014/main" id="{95C4AD46-BC65-46F3-ADD0-E089D362EA82}"/>
            </a:ext>
          </a:extLst>
        </xdr:cNvPr>
        <xdr:cNvPicPr>
          <a:picLocks noChangeAspect="1"/>
        </xdr:cNvPicPr>
      </xdr:nvPicPr>
      <xdr:blipFill rotWithShape="1">
        <a:blip xmlns:r="http://schemas.openxmlformats.org/officeDocument/2006/relationships" r:embed="rId59"/>
        <a:srcRect l="3950" r="12771"/>
        <a:stretch/>
      </xdr:blipFill>
      <xdr:spPr>
        <a:xfrm>
          <a:off x="852237" y="101727000"/>
          <a:ext cx="762001" cy="1037856"/>
        </a:xfrm>
        <a:prstGeom prst="rect">
          <a:avLst/>
        </a:prstGeom>
      </xdr:spPr>
    </xdr:pic>
    <xdr:clientData/>
  </xdr:twoCellAnchor>
  <xdr:twoCellAnchor>
    <xdr:from>
      <xdr:col>2</xdr:col>
      <xdr:colOff>140370</xdr:colOff>
      <xdr:row>173</xdr:row>
      <xdr:rowOff>30077</xdr:rowOff>
    </xdr:from>
    <xdr:to>
      <xdr:col>2</xdr:col>
      <xdr:colOff>902371</xdr:colOff>
      <xdr:row>173</xdr:row>
      <xdr:rowOff>1067933</xdr:rowOff>
    </xdr:to>
    <xdr:pic>
      <xdr:nvPicPr>
        <xdr:cNvPr id="107" name="Imagen 106">
          <a:extLst>
            <a:ext uri="{FF2B5EF4-FFF2-40B4-BE49-F238E27FC236}">
              <a16:creationId xmlns:a16="http://schemas.microsoft.com/office/drawing/2014/main" id="{558D16CC-262E-4122-A4CA-009B1C3222FC}"/>
            </a:ext>
          </a:extLst>
        </xdr:cNvPr>
        <xdr:cNvPicPr>
          <a:picLocks noChangeAspect="1"/>
        </xdr:cNvPicPr>
      </xdr:nvPicPr>
      <xdr:blipFill rotWithShape="1">
        <a:blip xmlns:r="http://schemas.openxmlformats.org/officeDocument/2006/relationships" r:embed="rId59"/>
        <a:srcRect l="3950" r="12771"/>
        <a:stretch/>
      </xdr:blipFill>
      <xdr:spPr>
        <a:xfrm>
          <a:off x="862265" y="104033051"/>
          <a:ext cx="762001" cy="1037856"/>
        </a:xfrm>
        <a:prstGeom prst="rect">
          <a:avLst/>
        </a:prstGeom>
      </xdr:spPr>
    </xdr:pic>
    <xdr:clientData/>
  </xdr:twoCellAnchor>
  <xdr:twoCellAnchor>
    <xdr:from>
      <xdr:col>2</xdr:col>
      <xdr:colOff>100264</xdr:colOff>
      <xdr:row>174</xdr:row>
      <xdr:rowOff>50132</xdr:rowOff>
    </xdr:from>
    <xdr:to>
      <xdr:col>2</xdr:col>
      <xdr:colOff>1004591</xdr:colOff>
      <xdr:row>174</xdr:row>
      <xdr:rowOff>855989</xdr:rowOff>
    </xdr:to>
    <xdr:pic>
      <xdr:nvPicPr>
        <xdr:cNvPr id="108" name="Imagen 26" descr="Un refrigerador con la puerta abierta&#10;&#10;Descripción generada automáticamente con confianza baja">
          <a:extLst>
            <a:ext uri="{FF2B5EF4-FFF2-40B4-BE49-F238E27FC236}">
              <a16:creationId xmlns:a16="http://schemas.microsoft.com/office/drawing/2014/main" id="{8FF042A6-E982-4767-9497-95433988FB87}"/>
            </a:ext>
          </a:extLst>
        </xdr:cNvPr>
        <xdr:cNvPicPr>
          <a:picLocks noChangeAspect="1"/>
        </xdr:cNvPicPr>
      </xdr:nvPicPr>
      <xdr:blipFill rotWithShape="1">
        <a:blip xmlns:r="http://schemas.openxmlformats.org/officeDocument/2006/relationships" r:embed="rId43" cstate="print">
          <a:extLst>
            <a:ext uri="{28A0092B-C50C-407E-A947-70E740481C1C}">
              <a14:useLocalDpi xmlns:a14="http://schemas.microsoft.com/office/drawing/2010/main" val="0"/>
            </a:ext>
          </a:extLst>
        </a:blip>
        <a:srcRect l="48514" t="18972" r="25101" b="64164"/>
        <a:stretch/>
      </xdr:blipFill>
      <xdr:spPr>
        <a:xfrm>
          <a:off x="822159" y="105226185"/>
          <a:ext cx="904327" cy="805857"/>
        </a:xfrm>
        <a:prstGeom prst="rect">
          <a:avLst/>
        </a:prstGeom>
      </xdr:spPr>
    </xdr:pic>
    <xdr:clientData/>
  </xdr:twoCellAnchor>
  <xdr:twoCellAnchor>
    <xdr:from>
      <xdr:col>2</xdr:col>
      <xdr:colOff>130339</xdr:colOff>
      <xdr:row>172</xdr:row>
      <xdr:rowOff>30078</xdr:rowOff>
    </xdr:from>
    <xdr:to>
      <xdr:col>2</xdr:col>
      <xdr:colOff>922941</xdr:colOff>
      <xdr:row>172</xdr:row>
      <xdr:rowOff>1125082</xdr:rowOff>
    </xdr:to>
    <xdr:pic>
      <xdr:nvPicPr>
        <xdr:cNvPr id="109" name="Imagen 108">
          <a:extLst>
            <a:ext uri="{FF2B5EF4-FFF2-40B4-BE49-F238E27FC236}">
              <a16:creationId xmlns:a16="http://schemas.microsoft.com/office/drawing/2014/main" id="{25843F56-4970-4DCF-BEC7-5143E6A451EB}"/>
            </a:ext>
          </a:extLst>
        </xdr:cNvPr>
        <xdr:cNvPicPr>
          <a:picLocks noChangeAspect="1"/>
        </xdr:cNvPicPr>
      </xdr:nvPicPr>
      <xdr:blipFill>
        <a:blip xmlns:r="http://schemas.openxmlformats.org/officeDocument/2006/relationships" r:embed="rId60"/>
        <a:stretch>
          <a:fillRect/>
        </a:stretch>
      </xdr:blipFill>
      <xdr:spPr>
        <a:xfrm>
          <a:off x="852234" y="102859973"/>
          <a:ext cx="792602" cy="1095004"/>
        </a:xfrm>
        <a:prstGeom prst="rect">
          <a:avLst/>
        </a:prstGeom>
      </xdr:spPr>
    </xdr:pic>
    <xdr:clientData/>
  </xdr:twoCellAnchor>
  <xdr:twoCellAnchor>
    <xdr:from>
      <xdr:col>2</xdr:col>
      <xdr:colOff>200528</xdr:colOff>
      <xdr:row>114</xdr:row>
      <xdr:rowOff>270709</xdr:rowOff>
    </xdr:from>
    <xdr:to>
      <xdr:col>2</xdr:col>
      <xdr:colOff>741947</xdr:colOff>
      <xdr:row>114</xdr:row>
      <xdr:rowOff>1194634</xdr:rowOff>
    </xdr:to>
    <xdr:pic>
      <xdr:nvPicPr>
        <xdr:cNvPr id="6" name="Imagen 5">
          <a:extLst>
            <a:ext uri="{FF2B5EF4-FFF2-40B4-BE49-F238E27FC236}">
              <a16:creationId xmlns:a16="http://schemas.microsoft.com/office/drawing/2014/main" id="{5CBB6944-A47E-E065-0D70-B1E43CF5CC50}"/>
            </a:ext>
          </a:extLst>
        </xdr:cNvPr>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val="0"/>
            </a:ext>
          </a:extLst>
        </a:blip>
        <a:srcRect/>
        <a:stretch>
          <a:fillRect/>
        </a:stretch>
      </xdr:blipFill>
      <xdr:spPr bwMode="auto">
        <a:xfrm>
          <a:off x="922423" y="65251262"/>
          <a:ext cx="541419" cy="923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210551</xdr:colOff>
      <xdr:row>116</xdr:row>
      <xdr:rowOff>250658</xdr:rowOff>
    </xdr:from>
    <xdr:to>
      <xdr:col>2</xdr:col>
      <xdr:colOff>812130</xdr:colOff>
      <xdr:row>116</xdr:row>
      <xdr:rowOff>1214686</xdr:rowOff>
    </xdr:to>
    <xdr:pic>
      <xdr:nvPicPr>
        <xdr:cNvPr id="9" name="Imagen 8">
          <a:extLst>
            <a:ext uri="{FF2B5EF4-FFF2-40B4-BE49-F238E27FC236}">
              <a16:creationId xmlns:a16="http://schemas.microsoft.com/office/drawing/2014/main" id="{E3918448-5532-4F38-A1F5-04E95EB6D384}"/>
            </a:ext>
          </a:extLst>
        </xdr:cNvPr>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val="0"/>
            </a:ext>
          </a:extLst>
        </a:blip>
        <a:srcRect/>
        <a:stretch>
          <a:fillRect/>
        </a:stretch>
      </xdr:blipFill>
      <xdr:spPr bwMode="auto">
        <a:xfrm>
          <a:off x="932446" y="67948342"/>
          <a:ext cx="601579" cy="964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180472</xdr:colOff>
      <xdr:row>115</xdr:row>
      <xdr:rowOff>224897</xdr:rowOff>
    </xdr:from>
    <xdr:to>
      <xdr:col>2</xdr:col>
      <xdr:colOff>772026</xdr:colOff>
      <xdr:row>115</xdr:row>
      <xdr:rowOff>1153027</xdr:rowOff>
    </xdr:to>
    <xdr:pic>
      <xdr:nvPicPr>
        <xdr:cNvPr id="11" name="Imagen 10">
          <a:extLst>
            <a:ext uri="{FF2B5EF4-FFF2-40B4-BE49-F238E27FC236}">
              <a16:creationId xmlns:a16="http://schemas.microsoft.com/office/drawing/2014/main" id="{B3A2A3CB-3EF7-2300-DE11-E21930FC84B6}"/>
            </a:ext>
          </a:extLst>
        </xdr:cNvPr>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val="0"/>
            </a:ext>
          </a:extLst>
        </a:blip>
        <a:srcRect/>
        <a:stretch>
          <a:fillRect/>
        </a:stretch>
      </xdr:blipFill>
      <xdr:spPr bwMode="auto">
        <a:xfrm>
          <a:off x="902367" y="66559002"/>
          <a:ext cx="591554" cy="9281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212556</xdr:colOff>
      <xdr:row>117</xdr:row>
      <xdr:rowOff>242636</xdr:rowOff>
    </xdr:from>
    <xdr:to>
      <xdr:col>2</xdr:col>
      <xdr:colOff>794082</xdr:colOff>
      <xdr:row>117</xdr:row>
      <xdr:rowOff>1155032</xdr:rowOff>
    </xdr:to>
    <xdr:pic>
      <xdr:nvPicPr>
        <xdr:cNvPr id="16" name="Imagen 15">
          <a:extLst>
            <a:ext uri="{FF2B5EF4-FFF2-40B4-BE49-F238E27FC236}">
              <a16:creationId xmlns:a16="http://schemas.microsoft.com/office/drawing/2014/main" id="{DD7D4031-FAF9-474E-B63A-D49A75290D3E}"/>
            </a:ext>
          </a:extLst>
        </xdr:cNvPr>
        <xdr:cNvPicPr>
          <a:picLocks noChangeAspect="1" noChangeArrowheads="1"/>
        </xdr:cNvPicPr>
      </xdr:nvPicPr>
      <xdr:blipFill>
        <a:blip xmlns:r="http://schemas.openxmlformats.org/officeDocument/2006/relationships" r:embed="rId64" cstate="print">
          <a:extLst>
            <a:ext uri="{28A0092B-C50C-407E-A947-70E740481C1C}">
              <a14:useLocalDpi xmlns:a14="http://schemas.microsoft.com/office/drawing/2010/main" val="0"/>
            </a:ext>
          </a:extLst>
        </a:blip>
        <a:srcRect/>
        <a:stretch>
          <a:fillRect/>
        </a:stretch>
      </xdr:blipFill>
      <xdr:spPr bwMode="auto">
        <a:xfrm>
          <a:off x="934451" y="69293873"/>
          <a:ext cx="581526" cy="9123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70186</xdr:colOff>
      <xdr:row>8</xdr:row>
      <xdr:rowOff>87284</xdr:rowOff>
    </xdr:from>
    <xdr:to>
      <xdr:col>2</xdr:col>
      <xdr:colOff>899376</xdr:colOff>
      <xdr:row>8</xdr:row>
      <xdr:rowOff>1042737</xdr:rowOff>
    </xdr:to>
    <xdr:pic>
      <xdr:nvPicPr>
        <xdr:cNvPr id="12" name="Imagen 2">
          <a:extLst>
            <a:ext uri="{FF2B5EF4-FFF2-40B4-BE49-F238E27FC236}">
              <a16:creationId xmlns:a16="http://schemas.microsoft.com/office/drawing/2014/main" id="{1BC997AD-5D02-4626-A2F6-0C03F7568C55}"/>
            </a:ext>
          </a:extLst>
        </xdr:cNvPr>
        <xdr:cNvPicPr>
          <a:picLocks noChangeAspect="1" noChangeArrowheads="1"/>
        </xdr:cNvPicPr>
      </xdr:nvPicPr>
      <xdr:blipFill rotWithShape="1">
        <a:blip xmlns:r="http://schemas.openxmlformats.org/officeDocument/2006/relationships" r:embed="rId65" cstate="print">
          <a:extLst>
            <a:ext uri="{28A0092B-C50C-407E-A947-70E740481C1C}">
              <a14:useLocalDpi xmlns:a14="http://schemas.microsoft.com/office/drawing/2010/main" val="0"/>
            </a:ext>
          </a:extLst>
        </a:blip>
        <a:srcRect r="10701"/>
        <a:stretch/>
      </xdr:blipFill>
      <xdr:spPr bwMode="auto">
        <a:xfrm>
          <a:off x="792081" y="3436073"/>
          <a:ext cx="829190" cy="9554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164761</xdr:colOff>
      <xdr:row>11</xdr:row>
      <xdr:rowOff>168732</xdr:rowOff>
    </xdr:from>
    <xdr:to>
      <xdr:col>2</xdr:col>
      <xdr:colOff>879615</xdr:colOff>
      <xdr:row>11</xdr:row>
      <xdr:rowOff>1032711</xdr:rowOff>
    </xdr:to>
    <xdr:pic>
      <xdr:nvPicPr>
        <xdr:cNvPr id="15" name="Imagen 2">
          <a:extLst>
            <a:ext uri="{FF2B5EF4-FFF2-40B4-BE49-F238E27FC236}">
              <a16:creationId xmlns:a16="http://schemas.microsoft.com/office/drawing/2014/main" id="{06FEFE2C-7F54-4FD4-A648-82FDBB2B325A}"/>
            </a:ext>
          </a:extLst>
        </xdr:cNvPr>
        <xdr:cNvPicPr>
          <a:picLocks noChangeAspect="1" noChangeArrowheads="1"/>
        </xdr:cNvPicPr>
      </xdr:nvPicPr>
      <xdr:blipFill rotWithShape="1">
        <a:blip xmlns:r="http://schemas.openxmlformats.org/officeDocument/2006/relationships" r:embed="rId66" cstate="print">
          <a:extLst>
            <a:ext uri="{28A0092B-C50C-407E-A947-70E740481C1C}">
              <a14:useLocalDpi xmlns:a14="http://schemas.microsoft.com/office/drawing/2010/main" val="0"/>
            </a:ext>
          </a:extLst>
        </a:blip>
        <a:srcRect r="17649"/>
        <a:stretch/>
      </xdr:blipFill>
      <xdr:spPr bwMode="auto">
        <a:xfrm>
          <a:off x="886656" y="6946521"/>
          <a:ext cx="714854" cy="8639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110403</xdr:colOff>
      <xdr:row>7</xdr:row>
      <xdr:rowOff>80211</xdr:rowOff>
    </xdr:from>
    <xdr:to>
      <xdr:col>2</xdr:col>
      <xdr:colOff>840836</xdr:colOff>
      <xdr:row>7</xdr:row>
      <xdr:rowOff>1103960</xdr:rowOff>
    </xdr:to>
    <xdr:pic>
      <xdr:nvPicPr>
        <xdr:cNvPr id="24" name="Imagen 23">
          <a:extLst>
            <a:ext uri="{FF2B5EF4-FFF2-40B4-BE49-F238E27FC236}">
              <a16:creationId xmlns:a16="http://schemas.microsoft.com/office/drawing/2014/main" id="{41777AD5-C4AF-4701-9A1E-C2FFAB667AF4}"/>
            </a:ext>
          </a:extLst>
        </xdr:cNvPr>
        <xdr:cNvPicPr>
          <a:picLocks noChangeAspect="1"/>
        </xdr:cNvPicPr>
      </xdr:nvPicPr>
      <xdr:blipFill>
        <a:blip xmlns:r="http://schemas.openxmlformats.org/officeDocument/2006/relationships" r:embed="rId67"/>
        <a:stretch>
          <a:fillRect/>
        </a:stretch>
      </xdr:blipFill>
      <xdr:spPr>
        <a:xfrm>
          <a:off x="832298" y="2286000"/>
          <a:ext cx="730433" cy="1023749"/>
        </a:xfrm>
        <a:prstGeom prst="rect">
          <a:avLst/>
        </a:prstGeom>
      </xdr:spPr>
    </xdr:pic>
    <xdr:clientData/>
  </xdr:twoCellAnchor>
  <xdr:twoCellAnchor>
    <xdr:from>
      <xdr:col>2</xdr:col>
      <xdr:colOff>164340</xdr:colOff>
      <xdr:row>9</xdr:row>
      <xdr:rowOff>150395</xdr:rowOff>
    </xdr:from>
    <xdr:to>
      <xdr:col>2</xdr:col>
      <xdr:colOff>802105</xdr:colOff>
      <xdr:row>9</xdr:row>
      <xdr:rowOff>1044559</xdr:rowOff>
    </xdr:to>
    <xdr:pic>
      <xdr:nvPicPr>
        <xdr:cNvPr id="25" name="Imagen 24">
          <a:extLst>
            <a:ext uri="{FF2B5EF4-FFF2-40B4-BE49-F238E27FC236}">
              <a16:creationId xmlns:a16="http://schemas.microsoft.com/office/drawing/2014/main" id="{15867C30-4F27-408F-9AF6-63AAAC388C8A}"/>
            </a:ext>
          </a:extLst>
        </xdr:cNvPr>
        <xdr:cNvPicPr>
          <a:picLocks noChangeAspect="1"/>
        </xdr:cNvPicPr>
      </xdr:nvPicPr>
      <xdr:blipFill>
        <a:blip xmlns:r="http://schemas.openxmlformats.org/officeDocument/2006/relationships" r:embed="rId68"/>
        <a:stretch>
          <a:fillRect/>
        </a:stretch>
      </xdr:blipFill>
      <xdr:spPr>
        <a:xfrm>
          <a:off x="886235" y="4642184"/>
          <a:ext cx="637765" cy="894164"/>
        </a:xfrm>
        <a:prstGeom prst="rect">
          <a:avLst/>
        </a:prstGeom>
      </xdr:spPr>
    </xdr:pic>
    <xdr:clientData/>
  </xdr:twoCellAnchor>
  <xdr:twoCellAnchor>
    <xdr:from>
      <xdr:col>2</xdr:col>
      <xdr:colOff>153132</xdr:colOff>
      <xdr:row>10</xdr:row>
      <xdr:rowOff>102593</xdr:rowOff>
    </xdr:from>
    <xdr:to>
      <xdr:col>2</xdr:col>
      <xdr:colOff>864639</xdr:colOff>
      <xdr:row>10</xdr:row>
      <xdr:rowOff>962527</xdr:rowOff>
    </xdr:to>
    <xdr:pic>
      <xdr:nvPicPr>
        <xdr:cNvPr id="26" name="Imagen 2">
          <a:extLst>
            <a:ext uri="{FF2B5EF4-FFF2-40B4-BE49-F238E27FC236}">
              <a16:creationId xmlns:a16="http://schemas.microsoft.com/office/drawing/2014/main" id="{3F79BCFB-25FC-4FBF-95D8-97E32678F45F}"/>
            </a:ext>
          </a:extLst>
        </xdr:cNvPr>
        <xdr:cNvPicPr>
          <a:picLocks noChangeAspect="1" noChangeArrowheads="1"/>
        </xdr:cNvPicPr>
      </xdr:nvPicPr>
      <xdr:blipFill rotWithShape="1">
        <a:blip xmlns:r="http://schemas.openxmlformats.org/officeDocument/2006/relationships" r:embed="rId69" cstate="print">
          <a:extLst>
            <a:ext uri="{28A0092B-C50C-407E-A947-70E740481C1C}">
              <a14:useLocalDpi xmlns:a14="http://schemas.microsoft.com/office/drawing/2010/main" val="0"/>
            </a:ext>
          </a:extLst>
        </a:blip>
        <a:srcRect r="17649"/>
        <a:stretch/>
      </xdr:blipFill>
      <xdr:spPr bwMode="auto">
        <a:xfrm>
          <a:off x="875027" y="5737382"/>
          <a:ext cx="711507" cy="8599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132051</xdr:colOff>
      <xdr:row>22</xdr:row>
      <xdr:rowOff>40106</xdr:rowOff>
    </xdr:from>
    <xdr:to>
      <xdr:col>2</xdr:col>
      <xdr:colOff>802104</xdr:colOff>
      <xdr:row>22</xdr:row>
      <xdr:rowOff>774124</xdr:rowOff>
    </xdr:to>
    <xdr:pic>
      <xdr:nvPicPr>
        <xdr:cNvPr id="44" name="Imagen 43">
          <a:extLst>
            <a:ext uri="{FF2B5EF4-FFF2-40B4-BE49-F238E27FC236}">
              <a16:creationId xmlns:a16="http://schemas.microsoft.com/office/drawing/2014/main" id="{47CD79A5-28F1-4D78-BC09-CE2D7A95070E}"/>
            </a:ext>
          </a:extLst>
        </xdr:cNvPr>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bwMode="auto">
        <a:xfrm>
          <a:off x="853946" y="8151395"/>
          <a:ext cx="670053" cy="7340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111999</xdr:colOff>
      <xdr:row>23</xdr:row>
      <xdr:rowOff>129163</xdr:rowOff>
    </xdr:from>
    <xdr:to>
      <xdr:col>2</xdr:col>
      <xdr:colOff>828055</xdr:colOff>
      <xdr:row>23</xdr:row>
      <xdr:rowOff>913575</xdr:rowOff>
    </xdr:to>
    <xdr:pic>
      <xdr:nvPicPr>
        <xdr:cNvPr id="59" name="Imagen 58">
          <a:extLst>
            <a:ext uri="{FF2B5EF4-FFF2-40B4-BE49-F238E27FC236}">
              <a16:creationId xmlns:a16="http://schemas.microsoft.com/office/drawing/2014/main" id="{3C60BC16-1104-44C5-93AC-5D1A03304ECF}"/>
            </a:ext>
          </a:extLst>
        </xdr:cNvPr>
        <xdr:cNvPicPr>
          <a:picLocks noChangeAspect="1" noChangeArrowheads="1"/>
        </xdr:cNvPicPr>
      </xdr:nvPicPr>
      <xdr:blipFill>
        <a:blip xmlns:r="http://schemas.openxmlformats.org/officeDocument/2006/relationships" r:embed="rId71" cstate="print">
          <a:extLst>
            <a:ext uri="{28A0092B-C50C-407E-A947-70E740481C1C}">
              <a14:useLocalDpi xmlns:a14="http://schemas.microsoft.com/office/drawing/2010/main" val="0"/>
            </a:ext>
          </a:extLst>
        </a:blip>
        <a:srcRect/>
        <a:stretch>
          <a:fillRect/>
        </a:stretch>
      </xdr:blipFill>
      <xdr:spPr bwMode="auto">
        <a:xfrm>
          <a:off x="833894" y="9032531"/>
          <a:ext cx="716056" cy="7844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20052</xdr:colOff>
      <xdr:row>24</xdr:row>
      <xdr:rowOff>225888</xdr:rowOff>
    </xdr:from>
    <xdr:to>
      <xdr:col>2</xdr:col>
      <xdr:colOff>882906</xdr:colOff>
      <xdr:row>24</xdr:row>
      <xdr:rowOff>1032862</xdr:rowOff>
    </xdr:to>
    <xdr:pic>
      <xdr:nvPicPr>
        <xdr:cNvPr id="63" name="Imagen 62">
          <a:extLst>
            <a:ext uri="{FF2B5EF4-FFF2-40B4-BE49-F238E27FC236}">
              <a16:creationId xmlns:a16="http://schemas.microsoft.com/office/drawing/2014/main" id="{37336D22-C969-486B-89BA-3890B185F6C9}"/>
            </a:ext>
          </a:extLst>
        </xdr:cNvPr>
        <xdr:cNvPicPr>
          <a:picLocks noChangeAspect="1"/>
        </xdr:cNvPicPr>
      </xdr:nvPicPr>
      <xdr:blipFill>
        <a:blip xmlns:r="http://schemas.openxmlformats.org/officeDocument/2006/relationships" r:embed="rId72"/>
        <a:stretch>
          <a:fillRect/>
        </a:stretch>
      </xdr:blipFill>
      <xdr:spPr>
        <a:xfrm>
          <a:off x="741947" y="10121862"/>
          <a:ext cx="862854" cy="806974"/>
        </a:xfrm>
        <a:prstGeom prst="rect">
          <a:avLst/>
        </a:prstGeom>
      </xdr:spPr>
    </xdr:pic>
    <xdr:clientData/>
  </xdr:twoCellAnchor>
  <xdr:twoCellAnchor>
    <xdr:from>
      <xdr:col>2</xdr:col>
      <xdr:colOff>80210</xdr:colOff>
      <xdr:row>25</xdr:row>
      <xdr:rowOff>107932</xdr:rowOff>
    </xdr:from>
    <xdr:to>
      <xdr:col>2</xdr:col>
      <xdr:colOff>802104</xdr:colOff>
      <xdr:row>25</xdr:row>
      <xdr:rowOff>783075</xdr:rowOff>
    </xdr:to>
    <xdr:pic>
      <xdr:nvPicPr>
        <xdr:cNvPr id="70" name="Imagen 69">
          <a:extLst>
            <a:ext uri="{FF2B5EF4-FFF2-40B4-BE49-F238E27FC236}">
              <a16:creationId xmlns:a16="http://schemas.microsoft.com/office/drawing/2014/main" id="{90ED39E0-6883-46D0-8990-9DB742558046}"/>
            </a:ext>
          </a:extLst>
        </xdr:cNvPr>
        <xdr:cNvPicPr>
          <a:picLocks noChangeAspect="1"/>
        </xdr:cNvPicPr>
      </xdr:nvPicPr>
      <xdr:blipFill>
        <a:blip xmlns:r="http://schemas.openxmlformats.org/officeDocument/2006/relationships" r:embed="rId72"/>
        <a:stretch>
          <a:fillRect/>
        </a:stretch>
      </xdr:blipFill>
      <xdr:spPr>
        <a:xfrm>
          <a:off x="802105" y="11166958"/>
          <a:ext cx="721894" cy="675143"/>
        </a:xfrm>
        <a:prstGeom prst="rect">
          <a:avLst/>
        </a:prstGeom>
      </xdr:spPr>
    </xdr:pic>
    <xdr:clientData/>
  </xdr:twoCellAnchor>
  <xdr:twoCellAnchor>
    <xdr:from>
      <xdr:col>2</xdr:col>
      <xdr:colOff>80210</xdr:colOff>
      <xdr:row>26</xdr:row>
      <xdr:rowOff>80211</xdr:rowOff>
    </xdr:from>
    <xdr:to>
      <xdr:col>2</xdr:col>
      <xdr:colOff>802104</xdr:colOff>
      <xdr:row>26</xdr:row>
      <xdr:rowOff>755354</xdr:rowOff>
    </xdr:to>
    <xdr:pic>
      <xdr:nvPicPr>
        <xdr:cNvPr id="110" name="Imagen 109">
          <a:extLst>
            <a:ext uri="{FF2B5EF4-FFF2-40B4-BE49-F238E27FC236}">
              <a16:creationId xmlns:a16="http://schemas.microsoft.com/office/drawing/2014/main" id="{950031EE-54CD-4A93-8431-C20EF743F9D5}"/>
            </a:ext>
          </a:extLst>
        </xdr:cNvPr>
        <xdr:cNvPicPr>
          <a:picLocks noChangeAspect="1"/>
        </xdr:cNvPicPr>
      </xdr:nvPicPr>
      <xdr:blipFill>
        <a:blip xmlns:r="http://schemas.openxmlformats.org/officeDocument/2006/relationships" r:embed="rId72"/>
        <a:stretch>
          <a:fillRect/>
        </a:stretch>
      </xdr:blipFill>
      <xdr:spPr>
        <a:xfrm>
          <a:off x="802105" y="12091737"/>
          <a:ext cx="721894" cy="675143"/>
        </a:xfrm>
        <a:prstGeom prst="rect">
          <a:avLst/>
        </a:prstGeom>
      </xdr:spPr>
    </xdr:pic>
    <xdr:clientData/>
  </xdr:twoCellAnchor>
  <xdr:twoCellAnchor>
    <xdr:from>
      <xdr:col>2</xdr:col>
      <xdr:colOff>230605</xdr:colOff>
      <xdr:row>29</xdr:row>
      <xdr:rowOff>100264</xdr:rowOff>
    </xdr:from>
    <xdr:to>
      <xdr:col>2</xdr:col>
      <xdr:colOff>790899</xdr:colOff>
      <xdr:row>29</xdr:row>
      <xdr:rowOff>979066</xdr:rowOff>
    </xdr:to>
    <xdr:pic>
      <xdr:nvPicPr>
        <xdr:cNvPr id="3" name="Imagen 2">
          <a:extLst>
            <a:ext uri="{FF2B5EF4-FFF2-40B4-BE49-F238E27FC236}">
              <a16:creationId xmlns:a16="http://schemas.microsoft.com/office/drawing/2014/main" id="{B0F7EE3B-7D06-43A4-AC7F-C46D6D2E3275}"/>
            </a:ext>
          </a:extLst>
        </xdr:cNvPr>
        <xdr:cNvPicPr>
          <a:picLocks noChangeAspect="1" noChangeArrowheads="1"/>
        </xdr:cNvPicPr>
      </xdr:nvPicPr>
      <xdr:blipFill>
        <a:blip xmlns:r="http://schemas.openxmlformats.org/officeDocument/2006/relationships" r:embed="rId73">
          <a:extLst>
            <a:ext uri="{28A0092B-C50C-407E-A947-70E740481C1C}">
              <a14:useLocalDpi xmlns:a14="http://schemas.microsoft.com/office/drawing/2010/main" val="0"/>
            </a:ext>
          </a:extLst>
        </a:blip>
        <a:srcRect/>
        <a:stretch>
          <a:fillRect/>
        </a:stretch>
      </xdr:blipFill>
      <xdr:spPr bwMode="auto">
        <a:xfrm>
          <a:off x="952500" y="13986711"/>
          <a:ext cx="560294" cy="8788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210552</xdr:colOff>
      <xdr:row>32</xdr:row>
      <xdr:rowOff>80209</xdr:rowOff>
    </xdr:from>
    <xdr:to>
      <xdr:col>2</xdr:col>
      <xdr:colOff>782054</xdr:colOff>
      <xdr:row>32</xdr:row>
      <xdr:rowOff>905141</xdr:rowOff>
    </xdr:to>
    <xdr:pic>
      <xdr:nvPicPr>
        <xdr:cNvPr id="31" name="Imagen 30">
          <a:extLst>
            <a:ext uri="{FF2B5EF4-FFF2-40B4-BE49-F238E27FC236}">
              <a16:creationId xmlns:a16="http://schemas.microsoft.com/office/drawing/2014/main" id="{9C98B0E3-49E5-4545-B68E-BFCB9D3A295B}"/>
            </a:ext>
          </a:extLst>
        </xdr:cNvPr>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932447" y="15540788"/>
          <a:ext cx="571502" cy="8249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210553</xdr:colOff>
      <xdr:row>33</xdr:row>
      <xdr:rowOff>80211</xdr:rowOff>
    </xdr:from>
    <xdr:to>
      <xdr:col>2</xdr:col>
      <xdr:colOff>773838</xdr:colOff>
      <xdr:row>33</xdr:row>
      <xdr:rowOff>929057</xdr:rowOff>
    </xdr:to>
    <xdr:pic>
      <xdr:nvPicPr>
        <xdr:cNvPr id="56" name="Imagen 55">
          <a:extLst>
            <a:ext uri="{FF2B5EF4-FFF2-40B4-BE49-F238E27FC236}">
              <a16:creationId xmlns:a16="http://schemas.microsoft.com/office/drawing/2014/main" id="{C5DA89E8-1C88-4BCB-AFF5-EB88D1D7F507}"/>
            </a:ext>
          </a:extLst>
        </xdr:cNvPr>
        <xdr:cNvPicPr>
          <a:picLocks noChangeAspect="1" noChangeArrowheads="1"/>
        </xdr:cNvPicPr>
      </xdr:nvPicPr>
      <xdr:blipFill>
        <a:blip xmlns:r="http://schemas.openxmlformats.org/officeDocument/2006/relationships" r:embed="rId75" cstate="print">
          <a:extLst>
            <a:ext uri="{28A0092B-C50C-407E-A947-70E740481C1C}">
              <a14:useLocalDpi xmlns:a14="http://schemas.microsoft.com/office/drawing/2010/main" val="0"/>
            </a:ext>
          </a:extLst>
        </a:blip>
        <a:srcRect/>
        <a:stretch>
          <a:fillRect/>
        </a:stretch>
      </xdr:blipFill>
      <xdr:spPr bwMode="auto">
        <a:xfrm>
          <a:off x="932448" y="16613606"/>
          <a:ext cx="563285" cy="8488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210552</xdr:colOff>
      <xdr:row>34</xdr:row>
      <xdr:rowOff>80211</xdr:rowOff>
    </xdr:from>
    <xdr:to>
      <xdr:col>2</xdr:col>
      <xdr:colOff>782054</xdr:colOff>
      <xdr:row>34</xdr:row>
      <xdr:rowOff>905143</xdr:rowOff>
    </xdr:to>
    <xdr:pic>
      <xdr:nvPicPr>
        <xdr:cNvPr id="64" name="Imagen 63">
          <a:extLst>
            <a:ext uri="{FF2B5EF4-FFF2-40B4-BE49-F238E27FC236}">
              <a16:creationId xmlns:a16="http://schemas.microsoft.com/office/drawing/2014/main" id="{BB72B779-2FAE-4F0E-92F1-BF410BB1C4C6}"/>
            </a:ext>
          </a:extLst>
        </xdr:cNvPr>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932447" y="17666369"/>
          <a:ext cx="571502" cy="8249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230605</xdr:colOff>
      <xdr:row>35</xdr:row>
      <xdr:rowOff>90237</xdr:rowOff>
    </xdr:from>
    <xdr:to>
      <xdr:col>2</xdr:col>
      <xdr:colOff>793890</xdr:colOff>
      <xdr:row>35</xdr:row>
      <xdr:rowOff>939083</xdr:rowOff>
    </xdr:to>
    <xdr:pic>
      <xdr:nvPicPr>
        <xdr:cNvPr id="65" name="Imagen 64">
          <a:extLst>
            <a:ext uri="{FF2B5EF4-FFF2-40B4-BE49-F238E27FC236}">
              <a16:creationId xmlns:a16="http://schemas.microsoft.com/office/drawing/2014/main" id="{F5EAA511-EAD5-4842-B12B-06958836012A}"/>
            </a:ext>
          </a:extLst>
        </xdr:cNvPr>
        <xdr:cNvPicPr>
          <a:picLocks noChangeAspect="1" noChangeArrowheads="1"/>
        </xdr:cNvPicPr>
      </xdr:nvPicPr>
      <xdr:blipFill>
        <a:blip xmlns:r="http://schemas.openxmlformats.org/officeDocument/2006/relationships" r:embed="rId75" cstate="print">
          <a:extLst>
            <a:ext uri="{28A0092B-C50C-407E-A947-70E740481C1C}">
              <a14:useLocalDpi xmlns:a14="http://schemas.microsoft.com/office/drawing/2010/main" val="0"/>
            </a:ext>
          </a:extLst>
        </a:blip>
        <a:srcRect/>
        <a:stretch>
          <a:fillRect/>
        </a:stretch>
      </xdr:blipFill>
      <xdr:spPr bwMode="auto">
        <a:xfrm>
          <a:off x="952500" y="18699079"/>
          <a:ext cx="563285" cy="8488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230605</xdr:colOff>
      <xdr:row>13</xdr:row>
      <xdr:rowOff>100264</xdr:rowOff>
    </xdr:from>
    <xdr:to>
      <xdr:col>2</xdr:col>
      <xdr:colOff>790899</xdr:colOff>
      <xdr:row>13</xdr:row>
      <xdr:rowOff>979066</xdr:rowOff>
    </xdr:to>
    <xdr:pic>
      <xdr:nvPicPr>
        <xdr:cNvPr id="17" name="Imagen 16">
          <a:extLst>
            <a:ext uri="{FF2B5EF4-FFF2-40B4-BE49-F238E27FC236}">
              <a16:creationId xmlns:a16="http://schemas.microsoft.com/office/drawing/2014/main" id="{93715B40-FB7F-495A-BCE5-1D26D5063077}"/>
            </a:ext>
          </a:extLst>
        </xdr:cNvPr>
        <xdr:cNvPicPr>
          <a:picLocks noChangeAspect="1" noChangeArrowheads="1"/>
        </xdr:cNvPicPr>
      </xdr:nvPicPr>
      <xdr:blipFill>
        <a:blip xmlns:r="http://schemas.openxmlformats.org/officeDocument/2006/relationships" r:embed="rId73">
          <a:extLst>
            <a:ext uri="{28A0092B-C50C-407E-A947-70E740481C1C}">
              <a14:useLocalDpi xmlns:a14="http://schemas.microsoft.com/office/drawing/2010/main" val="0"/>
            </a:ext>
          </a:extLst>
        </a:blip>
        <a:srcRect/>
        <a:stretch>
          <a:fillRect/>
        </a:stretch>
      </xdr:blipFill>
      <xdr:spPr bwMode="auto">
        <a:xfrm>
          <a:off x="1062789" y="23601948"/>
          <a:ext cx="560294" cy="8788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210552</xdr:colOff>
      <xdr:row>16</xdr:row>
      <xdr:rowOff>80209</xdr:rowOff>
    </xdr:from>
    <xdr:to>
      <xdr:col>2</xdr:col>
      <xdr:colOff>782054</xdr:colOff>
      <xdr:row>16</xdr:row>
      <xdr:rowOff>905141</xdr:rowOff>
    </xdr:to>
    <xdr:pic>
      <xdr:nvPicPr>
        <xdr:cNvPr id="30" name="Imagen 29">
          <a:extLst>
            <a:ext uri="{FF2B5EF4-FFF2-40B4-BE49-F238E27FC236}">
              <a16:creationId xmlns:a16="http://schemas.microsoft.com/office/drawing/2014/main" id="{9B1A4BB4-3315-4411-82B9-A6250D7F9231}"/>
            </a:ext>
          </a:extLst>
        </xdr:cNvPr>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1042736" y="25095867"/>
          <a:ext cx="571502" cy="8249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210553</xdr:colOff>
      <xdr:row>17</xdr:row>
      <xdr:rowOff>80211</xdr:rowOff>
    </xdr:from>
    <xdr:to>
      <xdr:col>2</xdr:col>
      <xdr:colOff>773838</xdr:colOff>
      <xdr:row>17</xdr:row>
      <xdr:rowOff>929057</xdr:rowOff>
    </xdr:to>
    <xdr:pic>
      <xdr:nvPicPr>
        <xdr:cNvPr id="69" name="Imagen 68">
          <a:extLst>
            <a:ext uri="{FF2B5EF4-FFF2-40B4-BE49-F238E27FC236}">
              <a16:creationId xmlns:a16="http://schemas.microsoft.com/office/drawing/2014/main" id="{90C881DC-F41E-47B8-9112-673A51345444}"/>
            </a:ext>
          </a:extLst>
        </xdr:cNvPr>
        <xdr:cNvPicPr>
          <a:picLocks noChangeAspect="1" noChangeArrowheads="1"/>
        </xdr:cNvPicPr>
      </xdr:nvPicPr>
      <xdr:blipFill>
        <a:blip xmlns:r="http://schemas.openxmlformats.org/officeDocument/2006/relationships" r:embed="rId75" cstate="print">
          <a:extLst>
            <a:ext uri="{28A0092B-C50C-407E-A947-70E740481C1C}">
              <a14:useLocalDpi xmlns:a14="http://schemas.microsoft.com/office/drawing/2010/main" val="0"/>
            </a:ext>
          </a:extLst>
        </a:blip>
        <a:srcRect/>
        <a:stretch>
          <a:fillRect/>
        </a:stretch>
      </xdr:blipFill>
      <xdr:spPr bwMode="auto">
        <a:xfrm>
          <a:off x="1042737" y="26168685"/>
          <a:ext cx="563285" cy="8488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210552</xdr:colOff>
      <xdr:row>18</xdr:row>
      <xdr:rowOff>80211</xdr:rowOff>
    </xdr:from>
    <xdr:to>
      <xdr:col>2</xdr:col>
      <xdr:colOff>782054</xdr:colOff>
      <xdr:row>18</xdr:row>
      <xdr:rowOff>905143</xdr:rowOff>
    </xdr:to>
    <xdr:pic>
      <xdr:nvPicPr>
        <xdr:cNvPr id="71" name="Imagen 70">
          <a:extLst>
            <a:ext uri="{FF2B5EF4-FFF2-40B4-BE49-F238E27FC236}">
              <a16:creationId xmlns:a16="http://schemas.microsoft.com/office/drawing/2014/main" id="{373DEFCF-2E2F-4EF8-9092-4601803B64D5}"/>
            </a:ext>
          </a:extLst>
        </xdr:cNvPr>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1042736" y="27221448"/>
          <a:ext cx="571502" cy="8249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230605</xdr:colOff>
      <xdr:row>19</xdr:row>
      <xdr:rowOff>90237</xdr:rowOff>
    </xdr:from>
    <xdr:to>
      <xdr:col>2</xdr:col>
      <xdr:colOff>793890</xdr:colOff>
      <xdr:row>19</xdr:row>
      <xdr:rowOff>939083</xdr:rowOff>
    </xdr:to>
    <xdr:pic>
      <xdr:nvPicPr>
        <xdr:cNvPr id="74" name="Imagen 73">
          <a:extLst>
            <a:ext uri="{FF2B5EF4-FFF2-40B4-BE49-F238E27FC236}">
              <a16:creationId xmlns:a16="http://schemas.microsoft.com/office/drawing/2014/main" id="{5B43C096-B20F-4191-818A-CB88316D3B07}"/>
            </a:ext>
          </a:extLst>
        </xdr:cNvPr>
        <xdr:cNvPicPr>
          <a:picLocks noChangeAspect="1" noChangeArrowheads="1"/>
        </xdr:cNvPicPr>
      </xdr:nvPicPr>
      <xdr:blipFill>
        <a:blip xmlns:r="http://schemas.openxmlformats.org/officeDocument/2006/relationships" r:embed="rId75" cstate="print">
          <a:extLst>
            <a:ext uri="{28A0092B-C50C-407E-A947-70E740481C1C}">
              <a14:useLocalDpi xmlns:a14="http://schemas.microsoft.com/office/drawing/2010/main" val="0"/>
            </a:ext>
          </a:extLst>
        </a:blip>
        <a:srcRect/>
        <a:stretch>
          <a:fillRect/>
        </a:stretch>
      </xdr:blipFill>
      <xdr:spPr bwMode="auto">
        <a:xfrm>
          <a:off x="1062789" y="28254158"/>
          <a:ext cx="563285" cy="8488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174113</xdr:colOff>
      <xdr:row>143</xdr:row>
      <xdr:rowOff>92178</xdr:rowOff>
    </xdr:from>
    <xdr:to>
      <xdr:col>2</xdr:col>
      <xdr:colOff>901290</xdr:colOff>
      <xdr:row>143</xdr:row>
      <xdr:rowOff>635103</xdr:rowOff>
    </xdr:to>
    <xdr:pic>
      <xdr:nvPicPr>
        <xdr:cNvPr id="76" name="Imagen 75">
          <a:extLst>
            <a:ext uri="{FF2B5EF4-FFF2-40B4-BE49-F238E27FC236}">
              <a16:creationId xmlns:a16="http://schemas.microsoft.com/office/drawing/2014/main" id="{A80E1D8E-BD1A-48C7-8657-8B8C0802F06B}"/>
            </a:ext>
          </a:extLst>
        </xdr:cNvPr>
        <xdr:cNvPicPr>
          <a:picLocks noChangeAspect="1"/>
        </xdr:cNvPicPr>
      </xdr:nvPicPr>
      <xdr:blipFill>
        <a:blip xmlns:r="http://schemas.openxmlformats.org/officeDocument/2006/relationships" r:embed="rId76"/>
        <a:stretch>
          <a:fillRect/>
        </a:stretch>
      </xdr:blipFill>
      <xdr:spPr>
        <a:xfrm>
          <a:off x="1003710" y="92996775"/>
          <a:ext cx="727177" cy="542925"/>
        </a:xfrm>
        <a:prstGeom prst="rect">
          <a:avLst/>
        </a:prstGeom>
      </xdr:spPr>
    </xdr:pic>
    <xdr:clientData/>
  </xdr:twoCellAnchor>
  <xdr:twoCellAnchor>
    <xdr:from>
      <xdr:col>2</xdr:col>
      <xdr:colOff>102420</xdr:colOff>
      <xdr:row>221</xdr:row>
      <xdr:rowOff>51211</xdr:rowOff>
    </xdr:from>
    <xdr:to>
      <xdr:col>2</xdr:col>
      <xdr:colOff>958354</xdr:colOff>
      <xdr:row>221</xdr:row>
      <xdr:rowOff>706694</xdr:rowOff>
    </xdr:to>
    <xdr:pic>
      <xdr:nvPicPr>
        <xdr:cNvPr id="84" name="Imagen 83">
          <a:extLst>
            <a:ext uri="{FF2B5EF4-FFF2-40B4-BE49-F238E27FC236}">
              <a16:creationId xmlns:a16="http://schemas.microsoft.com/office/drawing/2014/main" id="{8144E8D7-F78E-41C0-9FCA-1282DA0F1589}"/>
            </a:ext>
          </a:extLst>
        </xdr:cNvPr>
        <xdr:cNvPicPr>
          <a:picLocks noChangeAspect="1" noChangeArrowheads="1"/>
        </xdr:cNvPicPr>
      </xdr:nvPicPr>
      <xdr:blipFill>
        <a:blip xmlns:r="http://schemas.openxmlformats.org/officeDocument/2006/relationships" r:embed="rId77" cstate="print">
          <a:extLst>
            <a:ext uri="{28A0092B-C50C-407E-A947-70E740481C1C}">
              <a14:useLocalDpi xmlns:a14="http://schemas.microsoft.com/office/drawing/2010/main" val="0"/>
            </a:ext>
          </a:extLst>
        </a:blip>
        <a:srcRect/>
        <a:stretch>
          <a:fillRect/>
        </a:stretch>
      </xdr:blipFill>
      <xdr:spPr bwMode="auto">
        <a:xfrm>
          <a:off x="932017" y="138952340"/>
          <a:ext cx="855934" cy="6554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102421</xdr:colOff>
      <xdr:row>226</xdr:row>
      <xdr:rowOff>174113</xdr:rowOff>
    </xdr:from>
    <xdr:to>
      <xdr:col>2</xdr:col>
      <xdr:colOff>952501</xdr:colOff>
      <xdr:row>226</xdr:row>
      <xdr:rowOff>878963</xdr:rowOff>
    </xdr:to>
    <xdr:pic>
      <xdr:nvPicPr>
        <xdr:cNvPr id="85" name="Imagen 84">
          <a:extLst>
            <a:ext uri="{FF2B5EF4-FFF2-40B4-BE49-F238E27FC236}">
              <a16:creationId xmlns:a16="http://schemas.microsoft.com/office/drawing/2014/main" id="{3167CE0D-5A94-4B0B-BDCD-1049557947D0}"/>
            </a:ext>
          </a:extLst>
        </xdr:cNvPr>
        <xdr:cNvPicPr>
          <a:picLocks noChangeAspect="1" noChangeArrowheads="1"/>
        </xdr:cNvPicPr>
      </xdr:nvPicPr>
      <xdr:blipFill>
        <a:blip xmlns:r="http://schemas.openxmlformats.org/officeDocument/2006/relationships" r:embed="rId78" cstate="print">
          <a:extLst>
            <a:ext uri="{28A0092B-C50C-407E-A947-70E740481C1C}">
              <a14:useLocalDpi xmlns:a14="http://schemas.microsoft.com/office/drawing/2010/main" val="0"/>
            </a:ext>
          </a:extLst>
        </a:blip>
        <a:srcRect/>
        <a:stretch>
          <a:fillRect/>
        </a:stretch>
      </xdr:blipFill>
      <xdr:spPr bwMode="auto">
        <a:xfrm>
          <a:off x="932018" y="142373145"/>
          <a:ext cx="850080" cy="704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66676</xdr:colOff>
      <xdr:row>1</xdr:row>
      <xdr:rowOff>42361</xdr:rowOff>
    </xdr:from>
    <xdr:to>
      <xdr:col>2</xdr:col>
      <xdr:colOff>290792</xdr:colOff>
      <xdr:row>1</xdr:row>
      <xdr:rowOff>684619</xdr:rowOff>
    </xdr:to>
    <xdr:pic>
      <xdr:nvPicPr>
        <xdr:cNvPr id="2" name="Imagen 1">
          <a:extLst>
            <a:ext uri="{FF2B5EF4-FFF2-40B4-BE49-F238E27FC236}">
              <a16:creationId xmlns:a16="http://schemas.microsoft.com/office/drawing/2014/main" id="{F07CEFE9-D0CA-4DC4-9ECB-441ED551B27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8626" y="270961"/>
          <a:ext cx="586066" cy="642258"/>
        </a:xfrm>
        <a:prstGeom prst="rect">
          <a:avLst/>
        </a:prstGeom>
      </xdr:spPr>
    </xdr:pic>
    <xdr:clientData/>
  </xdr:twoCellAnchor>
  <xdr:twoCellAnchor>
    <xdr:from>
      <xdr:col>2</xdr:col>
      <xdr:colOff>89809</xdr:colOff>
      <xdr:row>39</xdr:row>
      <xdr:rowOff>193221</xdr:rowOff>
    </xdr:from>
    <xdr:to>
      <xdr:col>2</xdr:col>
      <xdr:colOff>989008</xdr:colOff>
      <xdr:row>39</xdr:row>
      <xdr:rowOff>979714</xdr:rowOff>
    </xdr:to>
    <xdr:pic>
      <xdr:nvPicPr>
        <xdr:cNvPr id="3" name="Imagen 2">
          <a:extLst>
            <a:ext uri="{FF2B5EF4-FFF2-40B4-BE49-F238E27FC236}">
              <a16:creationId xmlns:a16="http://schemas.microsoft.com/office/drawing/2014/main" id="{4FBEEB37-1C43-4732-AE61-5C3E309A5EE6}"/>
            </a:ext>
          </a:extLst>
        </xdr:cNvPr>
        <xdr:cNvPicPr>
          <a:picLocks noChangeAspect="1"/>
        </xdr:cNvPicPr>
      </xdr:nvPicPr>
      <xdr:blipFill>
        <a:blip xmlns:r="http://schemas.openxmlformats.org/officeDocument/2006/relationships" r:embed="rId2"/>
        <a:stretch>
          <a:fillRect/>
        </a:stretch>
      </xdr:blipFill>
      <xdr:spPr>
        <a:xfrm>
          <a:off x="813709" y="26682246"/>
          <a:ext cx="899199" cy="786493"/>
        </a:xfrm>
        <a:prstGeom prst="rect">
          <a:avLst/>
        </a:prstGeom>
      </xdr:spPr>
    </xdr:pic>
    <xdr:clientData/>
  </xdr:twoCellAnchor>
  <xdr:twoCellAnchor>
    <xdr:from>
      <xdr:col>2</xdr:col>
      <xdr:colOff>122464</xdr:colOff>
      <xdr:row>57</xdr:row>
      <xdr:rowOff>27214</xdr:rowOff>
    </xdr:from>
    <xdr:to>
      <xdr:col>2</xdr:col>
      <xdr:colOff>894402</xdr:colOff>
      <xdr:row>57</xdr:row>
      <xdr:rowOff>1050542</xdr:rowOff>
    </xdr:to>
    <xdr:pic>
      <xdr:nvPicPr>
        <xdr:cNvPr id="4" name="Imagen 3">
          <a:extLst>
            <a:ext uri="{FF2B5EF4-FFF2-40B4-BE49-F238E27FC236}">
              <a16:creationId xmlns:a16="http://schemas.microsoft.com/office/drawing/2014/main" id="{F9D6B5FC-2133-4A3D-9682-72D50135828D}"/>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rightnessContrast bright="44000"/>
                  </a14:imgEffect>
                </a14:imgLayer>
              </a14:imgProps>
            </a:ext>
          </a:extLst>
        </a:blip>
        <a:stretch>
          <a:fillRect/>
        </a:stretch>
      </xdr:blipFill>
      <xdr:spPr>
        <a:xfrm>
          <a:off x="846364" y="34221964"/>
          <a:ext cx="771938" cy="1023328"/>
        </a:xfrm>
        <a:prstGeom prst="rect">
          <a:avLst/>
        </a:prstGeom>
      </xdr:spPr>
    </xdr:pic>
    <xdr:clientData/>
  </xdr:twoCellAnchor>
  <xdr:twoCellAnchor>
    <xdr:from>
      <xdr:col>2</xdr:col>
      <xdr:colOff>108858</xdr:colOff>
      <xdr:row>77</xdr:row>
      <xdr:rowOff>81642</xdr:rowOff>
    </xdr:from>
    <xdr:to>
      <xdr:col>2</xdr:col>
      <xdr:colOff>949484</xdr:colOff>
      <xdr:row>77</xdr:row>
      <xdr:rowOff>1036256</xdr:rowOff>
    </xdr:to>
    <xdr:pic>
      <xdr:nvPicPr>
        <xdr:cNvPr id="5" name="Imagen 4">
          <a:extLst>
            <a:ext uri="{FF2B5EF4-FFF2-40B4-BE49-F238E27FC236}">
              <a16:creationId xmlns:a16="http://schemas.microsoft.com/office/drawing/2014/main" id="{9534B302-10ED-4B0F-9C3E-F86CEE059DD3}"/>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colorTemperature colorTemp="4971"/>
                  </a14:imgEffect>
                  <a14:imgEffect>
                    <a14:saturation sat="74000"/>
                  </a14:imgEffect>
                  <a14:imgEffect>
                    <a14:brightnessContrast bright="32000"/>
                  </a14:imgEffect>
                </a14:imgLayer>
              </a14:imgProps>
            </a:ext>
          </a:extLst>
        </a:blip>
        <a:stretch>
          <a:fillRect/>
        </a:stretch>
      </xdr:blipFill>
      <xdr:spPr>
        <a:xfrm>
          <a:off x="832758" y="44953917"/>
          <a:ext cx="840626" cy="954614"/>
        </a:xfrm>
        <a:prstGeom prst="rect">
          <a:avLst/>
        </a:prstGeom>
      </xdr:spPr>
    </xdr:pic>
    <xdr:clientData/>
  </xdr:twoCellAnchor>
  <xdr:twoCellAnchor>
    <xdr:from>
      <xdr:col>2</xdr:col>
      <xdr:colOff>163286</xdr:colOff>
      <xdr:row>85</xdr:row>
      <xdr:rowOff>81644</xdr:rowOff>
    </xdr:from>
    <xdr:to>
      <xdr:col>2</xdr:col>
      <xdr:colOff>922358</xdr:colOff>
      <xdr:row>85</xdr:row>
      <xdr:rowOff>1061358</xdr:rowOff>
    </xdr:to>
    <xdr:pic>
      <xdr:nvPicPr>
        <xdr:cNvPr id="6" name="Imagen 5">
          <a:extLst>
            <a:ext uri="{FF2B5EF4-FFF2-40B4-BE49-F238E27FC236}">
              <a16:creationId xmlns:a16="http://schemas.microsoft.com/office/drawing/2014/main" id="{E493E110-4A3F-46C5-AC8F-8F0197BCCE02}"/>
            </a:ext>
          </a:extLst>
        </xdr:cNvPr>
        <xdr:cNvPicPr>
          <a:picLocks noChangeAspect="1"/>
        </xdr:cNvPicPr>
      </xdr:nvPicPr>
      <xdr:blipFill>
        <a:blip xmlns:r="http://schemas.openxmlformats.org/officeDocument/2006/relationships" r:embed="rId7"/>
        <a:stretch>
          <a:fillRect/>
        </a:stretch>
      </xdr:blipFill>
      <xdr:spPr>
        <a:xfrm>
          <a:off x="887186" y="50487944"/>
          <a:ext cx="759072" cy="979714"/>
        </a:xfrm>
        <a:prstGeom prst="rect">
          <a:avLst/>
        </a:prstGeom>
      </xdr:spPr>
    </xdr:pic>
    <xdr:clientData/>
  </xdr:twoCellAnchor>
  <xdr:twoCellAnchor>
    <xdr:from>
      <xdr:col>2</xdr:col>
      <xdr:colOff>108857</xdr:colOff>
      <xdr:row>174</xdr:row>
      <xdr:rowOff>54430</xdr:rowOff>
    </xdr:from>
    <xdr:to>
      <xdr:col>2</xdr:col>
      <xdr:colOff>1013184</xdr:colOff>
      <xdr:row>174</xdr:row>
      <xdr:rowOff>860844</xdr:rowOff>
    </xdr:to>
    <xdr:pic>
      <xdr:nvPicPr>
        <xdr:cNvPr id="7" name="Imagen 6" descr="Un refrigerador con la puerta abierta&#10;&#10;Descripción generada automáticamente con confianza baja">
          <a:extLst>
            <a:ext uri="{FF2B5EF4-FFF2-40B4-BE49-F238E27FC236}">
              <a16:creationId xmlns:a16="http://schemas.microsoft.com/office/drawing/2014/main" id="{6CC5355F-FFAF-408E-BAB3-68A4B056E642}"/>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48514" t="18972" r="25101" b="64164"/>
        <a:stretch/>
      </xdr:blipFill>
      <xdr:spPr>
        <a:xfrm>
          <a:off x="832757" y="117945355"/>
          <a:ext cx="904327" cy="806414"/>
        </a:xfrm>
        <a:prstGeom prst="rect">
          <a:avLst/>
        </a:prstGeom>
      </xdr:spPr>
    </xdr:pic>
    <xdr:clientData/>
  </xdr:twoCellAnchor>
  <xdr:twoCellAnchor>
    <xdr:from>
      <xdr:col>2</xdr:col>
      <xdr:colOff>54427</xdr:colOff>
      <xdr:row>177</xdr:row>
      <xdr:rowOff>149678</xdr:rowOff>
    </xdr:from>
    <xdr:to>
      <xdr:col>2</xdr:col>
      <xdr:colOff>1020535</xdr:colOff>
      <xdr:row>182</xdr:row>
      <xdr:rowOff>353784</xdr:rowOff>
    </xdr:to>
    <xdr:pic>
      <xdr:nvPicPr>
        <xdr:cNvPr id="8" name="Imagen 7">
          <a:extLst>
            <a:ext uri="{FF2B5EF4-FFF2-40B4-BE49-F238E27FC236}">
              <a16:creationId xmlns:a16="http://schemas.microsoft.com/office/drawing/2014/main" id="{A5506285-B268-4288-9F41-001B542D00F7}"/>
            </a:ext>
          </a:extLst>
        </xdr:cNvPr>
        <xdr:cNvPicPr>
          <a:picLocks noChangeAspect="1"/>
        </xdr:cNvPicPr>
      </xdr:nvPicPr>
      <xdr:blipFill>
        <a:blip xmlns:r="http://schemas.openxmlformats.org/officeDocument/2006/relationships" r:embed="rId9"/>
        <a:stretch>
          <a:fillRect/>
        </a:stretch>
      </xdr:blipFill>
      <xdr:spPr>
        <a:xfrm>
          <a:off x="778327" y="120926678"/>
          <a:ext cx="966108" cy="2356756"/>
        </a:xfrm>
        <a:prstGeom prst="rect">
          <a:avLst/>
        </a:prstGeom>
      </xdr:spPr>
    </xdr:pic>
    <xdr:clientData/>
  </xdr:twoCellAnchor>
  <xdr:twoCellAnchor>
    <xdr:from>
      <xdr:col>2</xdr:col>
      <xdr:colOff>113360</xdr:colOff>
      <xdr:row>188</xdr:row>
      <xdr:rowOff>44824</xdr:rowOff>
    </xdr:from>
    <xdr:to>
      <xdr:col>2</xdr:col>
      <xdr:colOff>968508</xdr:colOff>
      <xdr:row>188</xdr:row>
      <xdr:rowOff>1086171</xdr:rowOff>
    </xdr:to>
    <xdr:pic>
      <xdr:nvPicPr>
        <xdr:cNvPr id="9" name="Imagen 8">
          <a:extLst>
            <a:ext uri="{FF2B5EF4-FFF2-40B4-BE49-F238E27FC236}">
              <a16:creationId xmlns:a16="http://schemas.microsoft.com/office/drawing/2014/main" id="{8D8A2186-EEE7-4C21-B21C-8A53B298AE1E}"/>
            </a:ext>
          </a:extLst>
        </xdr:cNvPr>
        <xdr:cNvPicPr>
          <a:picLocks noChangeAspect="1"/>
        </xdr:cNvPicPr>
      </xdr:nvPicPr>
      <xdr:blipFill>
        <a:blip xmlns:r="http://schemas.openxmlformats.org/officeDocument/2006/relationships" r:embed="rId10"/>
        <a:stretch>
          <a:fillRect/>
        </a:stretch>
      </xdr:blipFill>
      <xdr:spPr>
        <a:xfrm>
          <a:off x="837260" y="124679449"/>
          <a:ext cx="855148" cy="1041347"/>
        </a:xfrm>
        <a:prstGeom prst="rect">
          <a:avLst/>
        </a:prstGeom>
      </xdr:spPr>
    </xdr:pic>
    <xdr:clientData/>
  </xdr:twoCellAnchor>
  <xdr:twoCellAnchor>
    <xdr:from>
      <xdr:col>2</xdr:col>
      <xdr:colOff>149679</xdr:colOff>
      <xdr:row>213</xdr:row>
      <xdr:rowOff>244928</xdr:rowOff>
    </xdr:from>
    <xdr:to>
      <xdr:col>2</xdr:col>
      <xdr:colOff>941443</xdr:colOff>
      <xdr:row>213</xdr:row>
      <xdr:rowOff>775607</xdr:rowOff>
    </xdr:to>
    <xdr:pic>
      <xdr:nvPicPr>
        <xdr:cNvPr id="10" name="Imagen 9">
          <a:extLst>
            <a:ext uri="{FF2B5EF4-FFF2-40B4-BE49-F238E27FC236}">
              <a16:creationId xmlns:a16="http://schemas.microsoft.com/office/drawing/2014/main" id="{7334D33C-C52B-4ED2-85CC-327142BACF74}"/>
            </a:ext>
          </a:extLst>
        </xdr:cNvPr>
        <xdr:cNvPicPr>
          <a:picLocks noChangeAspect="1"/>
        </xdr:cNvPicPr>
      </xdr:nvPicPr>
      <xdr:blipFill>
        <a:blip xmlns:r="http://schemas.openxmlformats.org/officeDocument/2006/relationships" r:embed="rId11"/>
        <a:stretch>
          <a:fillRect/>
        </a:stretch>
      </xdr:blipFill>
      <xdr:spPr>
        <a:xfrm>
          <a:off x="873579" y="139624253"/>
          <a:ext cx="791764" cy="530679"/>
        </a:xfrm>
        <a:prstGeom prst="rect">
          <a:avLst/>
        </a:prstGeom>
      </xdr:spPr>
    </xdr:pic>
    <xdr:clientData/>
  </xdr:twoCellAnchor>
  <xdr:twoCellAnchor>
    <xdr:from>
      <xdr:col>2</xdr:col>
      <xdr:colOff>177341</xdr:colOff>
      <xdr:row>222</xdr:row>
      <xdr:rowOff>85725</xdr:rowOff>
    </xdr:from>
    <xdr:to>
      <xdr:col>2</xdr:col>
      <xdr:colOff>1019380</xdr:colOff>
      <xdr:row>222</xdr:row>
      <xdr:rowOff>921123</xdr:rowOff>
    </xdr:to>
    <xdr:pic>
      <xdr:nvPicPr>
        <xdr:cNvPr id="12" name="Imagen 11">
          <a:extLst>
            <a:ext uri="{FF2B5EF4-FFF2-40B4-BE49-F238E27FC236}">
              <a16:creationId xmlns:a16="http://schemas.microsoft.com/office/drawing/2014/main" id="{463D8C5E-5714-4B13-8089-DFDB7BCCF8B9}"/>
            </a:ext>
          </a:extLst>
        </xdr:cNvPr>
        <xdr:cNvPicPr>
          <a:picLocks noChangeAspect="1"/>
        </xdr:cNvPicPr>
      </xdr:nvPicPr>
      <xdr:blipFill>
        <a:blip xmlns:r="http://schemas.openxmlformats.org/officeDocument/2006/relationships" r:embed="rId12"/>
        <a:stretch>
          <a:fillRect/>
        </a:stretch>
      </xdr:blipFill>
      <xdr:spPr>
        <a:xfrm>
          <a:off x="901241" y="144960975"/>
          <a:ext cx="842039" cy="835398"/>
        </a:xfrm>
        <a:prstGeom prst="rect">
          <a:avLst/>
        </a:prstGeom>
      </xdr:spPr>
    </xdr:pic>
    <xdr:clientData/>
  </xdr:twoCellAnchor>
  <xdr:twoCellAnchor>
    <xdr:from>
      <xdr:col>2</xdr:col>
      <xdr:colOff>200024</xdr:colOff>
      <xdr:row>227</xdr:row>
      <xdr:rowOff>54883</xdr:rowOff>
    </xdr:from>
    <xdr:to>
      <xdr:col>2</xdr:col>
      <xdr:colOff>1057275</xdr:colOff>
      <xdr:row>227</xdr:row>
      <xdr:rowOff>867757</xdr:rowOff>
    </xdr:to>
    <xdr:pic>
      <xdr:nvPicPr>
        <xdr:cNvPr id="13" name="Imagen 12">
          <a:extLst>
            <a:ext uri="{FF2B5EF4-FFF2-40B4-BE49-F238E27FC236}">
              <a16:creationId xmlns:a16="http://schemas.microsoft.com/office/drawing/2014/main" id="{C9722F74-B0E1-47B4-9237-F9C57CDFDFFA}"/>
            </a:ext>
          </a:extLst>
        </xdr:cNvPr>
        <xdr:cNvPicPr>
          <a:picLocks noChangeAspect="1"/>
        </xdr:cNvPicPr>
      </xdr:nvPicPr>
      <xdr:blipFill>
        <a:blip xmlns:r="http://schemas.openxmlformats.org/officeDocument/2006/relationships" r:embed="rId13">
          <a:extLst>
            <a:ext uri="{BEBA8EAE-BF5A-486C-A8C5-ECC9F3942E4B}">
              <a14:imgProps xmlns:a14="http://schemas.microsoft.com/office/drawing/2010/main">
                <a14:imgLayer r:embed="rId14">
                  <a14:imgEffect>
                    <a14:sharpenSoften amount="46000"/>
                  </a14:imgEffect>
                </a14:imgLayer>
              </a14:imgProps>
            </a:ext>
          </a:extLst>
        </a:blip>
        <a:stretch>
          <a:fillRect/>
        </a:stretch>
      </xdr:blipFill>
      <xdr:spPr>
        <a:xfrm>
          <a:off x="923924" y="147273283"/>
          <a:ext cx="857251" cy="812874"/>
        </a:xfrm>
        <a:prstGeom prst="rect">
          <a:avLst/>
        </a:prstGeom>
      </xdr:spPr>
    </xdr:pic>
    <xdr:clientData/>
  </xdr:twoCellAnchor>
  <xdr:twoCellAnchor>
    <xdr:from>
      <xdr:col>2</xdr:col>
      <xdr:colOff>139907</xdr:colOff>
      <xdr:row>231</xdr:row>
      <xdr:rowOff>81643</xdr:rowOff>
    </xdr:from>
    <xdr:to>
      <xdr:col>2</xdr:col>
      <xdr:colOff>950595</xdr:colOff>
      <xdr:row>231</xdr:row>
      <xdr:rowOff>976360</xdr:rowOff>
    </xdr:to>
    <xdr:pic>
      <xdr:nvPicPr>
        <xdr:cNvPr id="14" name="Imagen 13">
          <a:extLst>
            <a:ext uri="{FF2B5EF4-FFF2-40B4-BE49-F238E27FC236}">
              <a16:creationId xmlns:a16="http://schemas.microsoft.com/office/drawing/2014/main" id="{B8BACD4C-AE63-486B-BCC1-E8106A4BCB77}"/>
            </a:ext>
          </a:extLst>
        </xdr:cNvPr>
        <xdr:cNvPicPr>
          <a:picLocks noChangeAspect="1"/>
        </xdr:cNvPicPr>
      </xdr:nvPicPr>
      <xdr:blipFill>
        <a:blip xmlns:r="http://schemas.openxmlformats.org/officeDocument/2006/relationships" r:embed="rId15"/>
        <a:stretch>
          <a:fillRect/>
        </a:stretch>
      </xdr:blipFill>
      <xdr:spPr>
        <a:xfrm>
          <a:off x="863807" y="148947868"/>
          <a:ext cx="810688" cy="894717"/>
        </a:xfrm>
        <a:prstGeom prst="rect">
          <a:avLst/>
        </a:prstGeom>
      </xdr:spPr>
    </xdr:pic>
    <xdr:clientData/>
  </xdr:twoCellAnchor>
  <xdr:twoCellAnchor>
    <xdr:from>
      <xdr:col>2</xdr:col>
      <xdr:colOff>184096</xdr:colOff>
      <xdr:row>121</xdr:row>
      <xdr:rowOff>135271</xdr:rowOff>
    </xdr:from>
    <xdr:to>
      <xdr:col>2</xdr:col>
      <xdr:colOff>891667</xdr:colOff>
      <xdr:row>122</xdr:row>
      <xdr:rowOff>421048</xdr:rowOff>
    </xdr:to>
    <xdr:pic>
      <xdr:nvPicPr>
        <xdr:cNvPr id="15" name="Imagen 14">
          <a:extLst>
            <a:ext uri="{FF2B5EF4-FFF2-40B4-BE49-F238E27FC236}">
              <a16:creationId xmlns:a16="http://schemas.microsoft.com/office/drawing/2014/main" id="{4DFBAE2B-3F58-4259-A421-E1AA46679ADF}"/>
            </a:ext>
          </a:extLst>
        </xdr:cNvPr>
        <xdr:cNvPicPr>
          <a:picLocks noChangeAspect="1"/>
        </xdr:cNvPicPr>
      </xdr:nvPicPr>
      <xdr:blipFill>
        <a:blip xmlns:r="http://schemas.openxmlformats.org/officeDocument/2006/relationships" r:embed="rId16"/>
        <a:stretch>
          <a:fillRect/>
        </a:stretch>
      </xdr:blipFill>
      <xdr:spPr>
        <a:xfrm>
          <a:off x="907996" y="81050146"/>
          <a:ext cx="707571" cy="923952"/>
        </a:xfrm>
        <a:prstGeom prst="rect">
          <a:avLst/>
        </a:prstGeom>
      </xdr:spPr>
    </xdr:pic>
    <xdr:clientData/>
  </xdr:twoCellAnchor>
  <xdr:twoCellAnchor>
    <xdr:from>
      <xdr:col>2</xdr:col>
      <xdr:colOff>156883</xdr:colOff>
      <xdr:row>172</xdr:row>
      <xdr:rowOff>56029</xdr:rowOff>
    </xdr:from>
    <xdr:to>
      <xdr:col>2</xdr:col>
      <xdr:colOff>949485</xdr:colOff>
      <xdr:row>172</xdr:row>
      <xdr:rowOff>1151033</xdr:rowOff>
    </xdr:to>
    <xdr:pic>
      <xdr:nvPicPr>
        <xdr:cNvPr id="16" name="Imagen 15">
          <a:extLst>
            <a:ext uri="{FF2B5EF4-FFF2-40B4-BE49-F238E27FC236}">
              <a16:creationId xmlns:a16="http://schemas.microsoft.com/office/drawing/2014/main" id="{8DD7A20A-69F4-44CD-B0AE-5934908AEF5F}"/>
            </a:ext>
          </a:extLst>
        </xdr:cNvPr>
        <xdr:cNvPicPr>
          <a:picLocks noChangeAspect="1"/>
        </xdr:cNvPicPr>
      </xdr:nvPicPr>
      <xdr:blipFill>
        <a:blip xmlns:r="http://schemas.openxmlformats.org/officeDocument/2006/relationships" r:embed="rId17"/>
        <a:stretch>
          <a:fillRect/>
        </a:stretch>
      </xdr:blipFill>
      <xdr:spPr>
        <a:xfrm>
          <a:off x="880783" y="115603804"/>
          <a:ext cx="792602" cy="1095004"/>
        </a:xfrm>
        <a:prstGeom prst="rect">
          <a:avLst/>
        </a:prstGeom>
      </xdr:spPr>
    </xdr:pic>
    <xdr:clientData/>
  </xdr:twoCellAnchor>
  <xdr:twoCellAnchor>
    <xdr:from>
      <xdr:col>2</xdr:col>
      <xdr:colOff>54429</xdr:colOff>
      <xdr:row>58</xdr:row>
      <xdr:rowOff>40821</xdr:rowOff>
    </xdr:from>
    <xdr:to>
      <xdr:col>2</xdr:col>
      <xdr:colOff>1020535</xdr:colOff>
      <xdr:row>58</xdr:row>
      <xdr:rowOff>612321</xdr:rowOff>
    </xdr:to>
    <xdr:pic>
      <xdr:nvPicPr>
        <xdr:cNvPr id="17" name="Imagen 16">
          <a:extLst>
            <a:ext uri="{FF2B5EF4-FFF2-40B4-BE49-F238E27FC236}">
              <a16:creationId xmlns:a16="http://schemas.microsoft.com/office/drawing/2014/main" id="{E9BAE0B1-6DDC-4A3F-BBF0-A578F6608D49}"/>
            </a:ext>
          </a:extLst>
        </xdr:cNvPr>
        <xdr:cNvPicPr>
          <a:picLocks noChangeAspect="1"/>
        </xdr:cNvPicPr>
      </xdr:nvPicPr>
      <xdr:blipFill>
        <a:blip xmlns:r="http://schemas.openxmlformats.org/officeDocument/2006/relationships" r:embed="rId18"/>
        <a:stretch>
          <a:fillRect/>
        </a:stretch>
      </xdr:blipFill>
      <xdr:spPr>
        <a:xfrm>
          <a:off x="778329" y="35407146"/>
          <a:ext cx="966106" cy="571500"/>
        </a:xfrm>
        <a:prstGeom prst="rect">
          <a:avLst/>
        </a:prstGeom>
      </xdr:spPr>
    </xdr:pic>
    <xdr:clientData/>
  </xdr:twoCellAnchor>
  <xdr:twoCellAnchor>
    <xdr:from>
      <xdr:col>2</xdr:col>
      <xdr:colOff>244926</xdr:colOff>
      <xdr:row>69</xdr:row>
      <xdr:rowOff>244929</xdr:rowOff>
    </xdr:from>
    <xdr:to>
      <xdr:col>2</xdr:col>
      <xdr:colOff>845001</xdr:colOff>
      <xdr:row>69</xdr:row>
      <xdr:rowOff>816428</xdr:rowOff>
    </xdr:to>
    <xdr:pic>
      <xdr:nvPicPr>
        <xdr:cNvPr id="18" name="Imagen 17">
          <a:extLst>
            <a:ext uri="{FF2B5EF4-FFF2-40B4-BE49-F238E27FC236}">
              <a16:creationId xmlns:a16="http://schemas.microsoft.com/office/drawing/2014/main" id="{02060C46-0E42-4391-8949-A2DC0219D95D}"/>
            </a:ext>
          </a:extLst>
        </xdr:cNvPr>
        <xdr:cNvPicPr>
          <a:picLocks noChangeAspect="1"/>
        </xdr:cNvPicPr>
      </xdr:nvPicPr>
      <xdr:blipFill>
        <a:blip xmlns:r="http://schemas.openxmlformats.org/officeDocument/2006/relationships" r:embed="rId19"/>
        <a:stretch>
          <a:fillRect/>
        </a:stretch>
      </xdr:blipFill>
      <xdr:spPr>
        <a:xfrm>
          <a:off x="968826" y="42612129"/>
          <a:ext cx="600075" cy="571499"/>
        </a:xfrm>
        <a:prstGeom prst="rect">
          <a:avLst/>
        </a:prstGeom>
      </xdr:spPr>
    </xdr:pic>
    <xdr:clientData/>
  </xdr:twoCellAnchor>
  <xdr:twoCellAnchor>
    <xdr:from>
      <xdr:col>2</xdr:col>
      <xdr:colOff>149679</xdr:colOff>
      <xdr:row>61</xdr:row>
      <xdr:rowOff>68036</xdr:rowOff>
    </xdr:from>
    <xdr:to>
      <xdr:col>2</xdr:col>
      <xdr:colOff>979714</xdr:colOff>
      <xdr:row>61</xdr:row>
      <xdr:rowOff>830312</xdr:rowOff>
    </xdr:to>
    <xdr:pic>
      <xdr:nvPicPr>
        <xdr:cNvPr id="19" name="Imagen 18">
          <a:extLst>
            <a:ext uri="{FF2B5EF4-FFF2-40B4-BE49-F238E27FC236}">
              <a16:creationId xmlns:a16="http://schemas.microsoft.com/office/drawing/2014/main" id="{0E37785F-BECB-403D-A89E-B9049211619E}"/>
            </a:ext>
          </a:extLst>
        </xdr:cNvPr>
        <xdr:cNvPicPr>
          <a:picLocks noChangeAspect="1"/>
        </xdr:cNvPicPr>
      </xdr:nvPicPr>
      <xdr:blipFill>
        <a:blip xmlns:r="http://schemas.openxmlformats.org/officeDocument/2006/relationships" r:embed="rId20"/>
        <a:stretch>
          <a:fillRect/>
        </a:stretch>
      </xdr:blipFill>
      <xdr:spPr>
        <a:xfrm>
          <a:off x="873579" y="36586886"/>
          <a:ext cx="830035" cy="762276"/>
        </a:xfrm>
        <a:prstGeom prst="rect">
          <a:avLst/>
        </a:prstGeom>
      </xdr:spPr>
    </xdr:pic>
    <xdr:clientData/>
  </xdr:twoCellAnchor>
  <xdr:twoCellAnchor>
    <xdr:from>
      <xdr:col>2</xdr:col>
      <xdr:colOff>204107</xdr:colOff>
      <xdr:row>62</xdr:row>
      <xdr:rowOff>248859</xdr:rowOff>
    </xdr:from>
    <xdr:to>
      <xdr:col>2</xdr:col>
      <xdr:colOff>993321</xdr:colOff>
      <xdr:row>62</xdr:row>
      <xdr:rowOff>1020536</xdr:rowOff>
    </xdr:to>
    <xdr:pic>
      <xdr:nvPicPr>
        <xdr:cNvPr id="20" name="Imagen 19">
          <a:extLst>
            <a:ext uri="{FF2B5EF4-FFF2-40B4-BE49-F238E27FC236}">
              <a16:creationId xmlns:a16="http://schemas.microsoft.com/office/drawing/2014/main" id="{4907279C-8088-48FB-92FB-C9214067431E}"/>
            </a:ext>
          </a:extLst>
        </xdr:cNvPr>
        <xdr:cNvPicPr>
          <a:picLocks noChangeAspect="1"/>
        </xdr:cNvPicPr>
      </xdr:nvPicPr>
      <xdr:blipFill>
        <a:blip xmlns:r="http://schemas.openxmlformats.org/officeDocument/2006/relationships" r:embed="rId21"/>
        <a:stretch>
          <a:fillRect/>
        </a:stretch>
      </xdr:blipFill>
      <xdr:spPr>
        <a:xfrm>
          <a:off x="928007" y="37748784"/>
          <a:ext cx="789214" cy="771677"/>
        </a:xfrm>
        <a:prstGeom prst="rect">
          <a:avLst/>
        </a:prstGeom>
      </xdr:spPr>
    </xdr:pic>
    <xdr:clientData/>
  </xdr:twoCellAnchor>
  <xdr:twoCellAnchor>
    <xdr:from>
      <xdr:col>2</xdr:col>
      <xdr:colOff>81643</xdr:colOff>
      <xdr:row>63</xdr:row>
      <xdr:rowOff>340177</xdr:rowOff>
    </xdr:from>
    <xdr:to>
      <xdr:col>3</xdr:col>
      <xdr:colOff>27214</xdr:colOff>
      <xdr:row>63</xdr:row>
      <xdr:rowOff>1006928</xdr:rowOff>
    </xdr:to>
    <xdr:pic>
      <xdr:nvPicPr>
        <xdr:cNvPr id="21" name="Imagen 20">
          <a:extLst>
            <a:ext uri="{FF2B5EF4-FFF2-40B4-BE49-F238E27FC236}">
              <a16:creationId xmlns:a16="http://schemas.microsoft.com/office/drawing/2014/main" id="{33ADF1F5-3C31-451A-A4C0-558DC0AD1F15}"/>
            </a:ext>
          </a:extLst>
        </xdr:cNvPr>
        <xdr:cNvPicPr>
          <a:picLocks noChangeAspect="1"/>
        </xdr:cNvPicPr>
      </xdr:nvPicPr>
      <xdr:blipFill>
        <a:blip xmlns:r="http://schemas.openxmlformats.org/officeDocument/2006/relationships" r:embed="rId22"/>
        <a:stretch>
          <a:fillRect/>
        </a:stretch>
      </xdr:blipFill>
      <xdr:spPr>
        <a:xfrm>
          <a:off x="805543" y="38935477"/>
          <a:ext cx="1336221" cy="666751"/>
        </a:xfrm>
        <a:prstGeom prst="rect">
          <a:avLst/>
        </a:prstGeom>
      </xdr:spPr>
    </xdr:pic>
    <xdr:clientData/>
  </xdr:twoCellAnchor>
  <xdr:twoCellAnchor>
    <xdr:from>
      <xdr:col>2</xdr:col>
      <xdr:colOff>77639</xdr:colOff>
      <xdr:row>64</xdr:row>
      <xdr:rowOff>244928</xdr:rowOff>
    </xdr:from>
    <xdr:to>
      <xdr:col>3</xdr:col>
      <xdr:colOff>13005</xdr:colOff>
      <xdr:row>64</xdr:row>
      <xdr:rowOff>1020535</xdr:rowOff>
    </xdr:to>
    <xdr:pic>
      <xdr:nvPicPr>
        <xdr:cNvPr id="22" name="Imagen 21">
          <a:extLst>
            <a:ext uri="{FF2B5EF4-FFF2-40B4-BE49-F238E27FC236}">
              <a16:creationId xmlns:a16="http://schemas.microsoft.com/office/drawing/2014/main" id="{614F6B9E-7AE6-4A8A-92F4-3B628F2A90AB}"/>
            </a:ext>
          </a:extLst>
        </xdr:cNvPr>
        <xdr:cNvPicPr>
          <a:picLocks noChangeAspect="1"/>
        </xdr:cNvPicPr>
      </xdr:nvPicPr>
      <xdr:blipFill>
        <a:blip xmlns:r="http://schemas.openxmlformats.org/officeDocument/2006/relationships" r:embed="rId23"/>
        <a:stretch>
          <a:fillRect/>
        </a:stretch>
      </xdr:blipFill>
      <xdr:spPr>
        <a:xfrm>
          <a:off x="801539" y="39964178"/>
          <a:ext cx="1326016" cy="775607"/>
        </a:xfrm>
        <a:prstGeom prst="rect">
          <a:avLst/>
        </a:prstGeom>
      </xdr:spPr>
    </xdr:pic>
    <xdr:clientData/>
  </xdr:twoCellAnchor>
  <xdr:twoCellAnchor>
    <xdr:from>
      <xdr:col>2</xdr:col>
      <xdr:colOff>108857</xdr:colOff>
      <xdr:row>65</xdr:row>
      <xdr:rowOff>40821</xdr:rowOff>
    </xdr:from>
    <xdr:to>
      <xdr:col>3</xdr:col>
      <xdr:colOff>27214</xdr:colOff>
      <xdr:row>65</xdr:row>
      <xdr:rowOff>810928</xdr:rowOff>
    </xdr:to>
    <xdr:pic>
      <xdr:nvPicPr>
        <xdr:cNvPr id="23" name="Imagen 22">
          <a:extLst>
            <a:ext uri="{FF2B5EF4-FFF2-40B4-BE49-F238E27FC236}">
              <a16:creationId xmlns:a16="http://schemas.microsoft.com/office/drawing/2014/main" id="{F44BE0C9-E3B4-4C8F-959B-05D4CCB93B7A}"/>
            </a:ext>
          </a:extLst>
        </xdr:cNvPr>
        <xdr:cNvPicPr>
          <a:picLocks noChangeAspect="1"/>
        </xdr:cNvPicPr>
      </xdr:nvPicPr>
      <xdr:blipFill>
        <a:blip xmlns:r="http://schemas.openxmlformats.org/officeDocument/2006/relationships" r:embed="rId24"/>
        <a:stretch>
          <a:fillRect/>
        </a:stretch>
      </xdr:blipFill>
      <xdr:spPr>
        <a:xfrm>
          <a:off x="832757" y="40884021"/>
          <a:ext cx="1309007" cy="770107"/>
        </a:xfrm>
        <a:prstGeom prst="rect">
          <a:avLst/>
        </a:prstGeom>
      </xdr:spPr>
    </xdr:pic>
    <xdr:clientData/>
  </xdr:twoCellAnchor>
  <xdr:twoCellAnchor>
    <xdr:from>
      <xdr:col>2</xdr:col>
      <xdr:colOff>149679</xdr:colOff>
      <xdr:row>83</xdr:row>
      <xdr:rowOff>68036</xdr:rowOff>
    </xdr:from>
    <xdr:to>
      <xdr:col>2</xdr:col>
      <xdr:colOff>908751</xdr:colOff>
      <xdr:row>83</xdr:row>
      <xdr:rowOff>1047750</xdr:rowOff>
    </xdr:to>
    <xdr:pic>
      <xdr:nvPicPr>
        <xdr:cNvPr id="24" name="Imagen 23">
          <a:extLst>
            <a:ext uri="{FF2B5EF4-FFF2-40B4-BE49-F238E27FC236}">
              <a16:creationId xmlns:a16="http://schemas.microsoft.com/office/drawing/2014/main" id="{D99DEAF3-2CA9-4553-8664-EFC27898C36B}"/>
            </a:ext>
          </a:extLst>
        </xdr:cNvPr>
        <xdr:cNvPicPr>
          <a:picLocks noChangeAspect="1"/>
        </xdr:cNvPicPr>
      </xdr:nvPicPr>
      <xdr:blipFill>
        <a:blip xmlns:r="http://schemas.openxmlformats.org/officeDocument/2006/relationships" r:embed="rId7"/>
        <a:stretch>
          <a:fillRect/>
        </a:stretch>
      </xdr:blipFill>
      <xdr:spPr>
        <a:xfrm>
          <a:off x="873579" y="48159761"/>
          <a:ext cx="759072" cy="979714"/>
        </a:xfrm>
        <a:prstGeom prst="rect">
          <a:avLst/>
        </a:prstGeom>
      </xdr:spPr>
    </xdr:pic>
    <xdr:clientData/>
  </xdr:twoCellAnchor>
  <xdr:twoCellAnchor>
    <xdr:from>
      <xdr:col>2</xdr:col>
      <xdr:colOff>136072</xdr:colOff>
      <xdr:row>82</xdr:row>
      <xdr:rowOff>95250</xdr:rowOff>
    </xdr:from>
    <xdr:to>
      <xdr:col>2</xdr:col>
      <xdr:colOff>895144</xdr:colOff>
      <xdr:row>82</xdr:row>
      <xdr:rowOff>1074964</xdr:rowOff>
    </xdr:to>
    <xdr:pic>
      <xdr:nvPicPr>
        <xdr:cNvPr id="25" name="Imagen 24">
          <a:extLst>
            <a:ext uri="{FF2B5EF4-FFF2-40B4-BE49-F238E27FC236}">
              <a16:creationId xmlns:a16="http://schemas.microsoft.com/office/drawing/2014/main" id="{444AA39F-10D6-4CD3-8BF4-31CD00EE2C75}"/>
            </a:ext>
          </a:extLst>
        </xdr:cNvPr>
        <xdr:cNvPicPr>
          <a:picLocks noChangeAspect="1"/>
        </xdr:cNvPicPr>
      </xdr:nvPicPr>
      <xdr:blipFill>
        <a:blip xmlns:r="http://schemas.openxmlformats.org/officeDocument/2006/relationships" r:embed="rId7"/>
        <a:stretch>
          <a:fillRect/>
        </a:stretch>
      </xdr:blipFill>
      <xdr:spPr>
        <a:xfrm>
          <a:off x="859972" y="47043975"/>
          <a:ext cx="759072" cy="979714"/>
        </a:xfrm>
        <a:prstGeom prst="rect">
          <a:avLst/>
        </a:prstGeom>
      </xdr:spPr>
    </xdr:pic>
    <xdr:clientData/>
  </xdr:twoCellAnchor>
  <xdr:twoCellAnchor>
    <xdr:from>
      <xdr:col>2</xdr:col>
      <xdr:colOff>163286</xdr:colOff>
      <xdr:row>84</xdr:row>
      <xdr:rowOff>81642</xdr:rowOff>
    </xdr:from>
    <xdr:to>
      <xdr:col>2</xdr:col>
      <xdr:colOff>922358</xdr:colOff>
      <xdr:row>84</xdr:row>
      <xdr:rowOff>1061356</xdr:rowOff>
    </xdr:to>
    <xdr:pic>
      <xdr:nvPicPr>
        <xdr:cNvPr id="26" name="Imagen 25">
          <a:extLst>
            <a:ext uri="{FF2B5EF4-FFF2-40B4-BE49-F238E27FC236}">
              <a16:creationId xmlns:a16="http://schemas.microsoft.com/office/drawing/2014/main" id="{BA571BFF-C86D-4927-BE9F-E8B99E6EEC27}"/>
            </a:ext>
          </a:extLst>
        </xdr:cNvPr>
        <xdr:cNvPicPr>
          <a:picLocks noChangeAspect="1"/>
        </xdr:cNvPicPr>
      </xdr:nvPicPr>
      <xdr:blipFill>
        <a:blip xmlns:r="http://schemas.openxmlformats.org/officeDocument/2006/relationships" r:embed="rId7"/>
        <a:stretch>
          <a:fillRect/>
        </a:stretch>
      </xdr:blipFill>
      <xdr:spPr>
        <a:xfrm>
          <a:off x="887186" y="49325892"/>
          <a:ext cx="759072" cy="979714"/>
        </a:xfrm>
        <a:prstGeom prst="rect">
          <a:avLst/>
        </a:prstGeom>
      </xdr:spPr>
    </xdr:pic>
    <xdr:clientData/>
  </xdr:twoCellAnchor>
  <xdr:twoCellAnchor>
    <xdr:from>
      <xdr:col>2</xdr:col>
      <xdr:colOff>54429</xdr:colOff>
      <xdr:row>194</xdr:row>
      <xdr:rowOff>108856</xdr:rowOff>
    </xdr:from>
    <xdr:to>
      <xdr:col>2</xdr:col>
      <xdr:colOff>1019737</xdr:colOff>
      <xdr:row>194</xdr:row>
      <xdr:rowOff>857249</xdr:rowOff>
    </xdr:to>
    <xdr:pic>
      <xdr:nvPicPr>
        <xdr:cNvPr id="27" name="Imagen 26">
          <a:extLst>
            <a:ext uri="{FF2B5EF4-FFF2-40B4-BE49-F238E27FC236}">
              <a16:creationId xmlns:a16="http://schemas.microsoft.com/office/drawing/2014/main" id="{F54AEAB5-EB0B-4E44-8BF6-34DD96A85B82}"/>
            </a:ext>
          </a:extLst>
        </xdr:cNvPr>
        <xdr:cNvPicPr>
          <a:picLocks noChangeAspect="1"/>
        </xdr:cNvPicPr>
      </xdr:nvPicPr>
      <xdr:blipFill>
        <a:blip xmlns:r="http://schemas.openxmlformats.org/officeDocument/2006/relationships" r:embed="rId25"/>
        <a:stretch>
          <a:fillRect/>
        </a:stretch>
      </xdr:blipFill>
      <xdr:spPr>
        <a:xfrm>
          <a:off x="778329" y="129010681"/>
          <a:ext cx="965308" cy="748393"/>
        </a:xfrm>
        <a:prstGeom prst="rect">
          <a:avLst/>
        </a:prstGeom>
      </xdr:spPr>
    </xdr:pic>
    <xdr:clientData/>
  </xdr:twoCellAnchor>
  <xdr:twoCellAnchor>
    <xdr:from>
      <xdr:col>2</xdr:col>
      <xdr:colOff>40821</xdr:colOff>
      <xdr:row>201</xdr:row>
      <xdr:rowOff>272143</xdr:rowOff>
    </xdr:from>
    <xdr:to>
      <xdr:col>2</xdr:col>
      <xdr:colOff>1066799</xdr:colOff>
      <xdr:row>201</xdr:row>
      <xdr:rowOff>1488141</xdr:rowOff>
    </xdr:to>
    <xdr:pic>
      <xdr:nvPicPr>
        <xdr:cNvPr id="28" name="Imagen 27">
          <a:extLst>
            <a:ext uri="{FF2B5EF4-FFF2-40B4-BE49-F238E27FC236}">
              <a16:creationId xmlns:a16="http://schemas.microsoft.com/office/drawing/2014/main" id="{D8E8E02A-9DD8-40F3-87C8-25124B628E94}"/>
            </a:ext>
          </a:extLst>
        </xdr:cNvPr>
        <xdr:cNvPicPr>
          <a:picLocks noChangeAspect="1"/>
        </xdr:cNvPicPr>
      </xdr:nvPicPr>
      <xdr:blipFill>
        <a:blip xmlns:r="http://schemas.openxmlformats.org/officeDocument/2006/relationships" r:embed="rId26"/>
        <a:stretch>
          <a:fillRect/>
        </a:stretch>
      </xdr:blipFill>
      <xdr:spPr>
        <a:xfrm>
          <a:off x="764721" y="133355443"/>
          <a:ext cx="1025978" cy="1215998"/>
        </a:xfrm>
        <a:prstGeom prst="rect">
          <a:avLst/>
        </a:prstGeom>
      </xdr:spPr>
    </xdr:pic>
    <xdr:clientData/>
  </xdr:twoCellAnchor>
  <xdr:twoCellAnchor>
    <xdr:from>
      <xdr:col>2</xdr:col>
      <xdr:colOff>108856</xdr:colOff>
      <xdr:row>232</xdr:row>
      <xdr:rowOff>40821</xdr:rowOff>
    </xdr:from>
    <xdr:to>
      <xdr:col>2</xdr:col>
      <xdr:colOff>941296</xdr:colOff>
      <xdr:row>232</xdr:row>
      <xdr:rowOff>982180</xdr:rowOff>
    </xdr:to>
    <xdr:pic>
      <xdr:nvPicPr>
        <xdr:cNvPr id="29" name="Imagen 28">
          <a:extLst>
            <a:ext uri="{FF2B5EF4-FFF2-40B4-BE49-F238E27FC236}">
              <a16:creationId xmlns:a16="http://schemas.microsoft.com/office/drawing/2014/main" id="{0C4B7618-30D6-4FB5-B20F-14E87CFCE16E}"/>
            </a:ext>
          </a:extLst>
        </xdr:cNvPr>
        <xdr:cNvPicPr>
          <a:picLocks noChangeAspect="1"/>
        </xdr:cNvPicPr>
      </xdr:nvPicPr>
      <xdr:blipFill>
        <a:blip xmlns:r="http://schemas.openxmlformats.org/officeDocument/2006/relationships" r:embed="rId27"/>
        <a:stretch>
          <a:fillRect/>
        </a:stretch>
      </xdr:blipFill>
      <xdr:spPr>
        <a:xfrm>
          <a:off x="832756" y="150059571"/>
          <a:ext cx="832440" cy="941359"/>
        </a:xfrm>
        <a:prstGeom prst="rect">
          <a:avLst/>
        </a:prstGeom>
      </xdr:spPr>
    </xdr:pic>
    <xdr:clientData/>
  </xdr:twoCellAnchor>
  <xdr:twoCellAnchor>
    <xdr:from>
      <xdr:col>2</xdr:col>
      <xdr:colOff>101654</xdr:colOff>
      <xdr:row>8</xdr:row>
      <xdr:rowOff>84364</xdr:rowOff>
    </xdr:from>
    <xdr:to>
      <xdr:col>2</xdr:col>
      <xdr:colOff>963707</xdr:colOff>
      <xdr:row>8</xdr:row>
      <xdr:rowOff>1077684</xdr:rowOff>
    </xdr:to>
    <xdr:pic>
      <xdr:nvPicPr>
        <xdr:cNvPr id="30" name="Imagen 2">
          <a:extLst>
            <a:ext uri="{FF2B5EF4-FFF2-40B4-BE49-F238E27FC236}">
              <a16:creationId xmlns:a16="http://schemas.microsoft.com/office/drawing/2014/main" id="{9AB177E1-AD84-41E1-8F88-0DCB54022974}"/>
            </a:ext>
          </a:extLst>
        </xdr:cNvPr>
        <xdr:cNvPicPr>
          <a:picLocks noChangeAspect="1" noChangeArrowheads="1"/>
        </xdr:cNvPicPr>
      </xdr:nvPicPr>
      <xdr:blipFill rotWithShape="1">
        <a:blip xmlns:r="http://schemas.openxmlformats.org/officeDocument/2006/relationships" r:embed="rId28" cstate="print">
          <a:extLst>
            <a:ext uri="{28A0092B-C50C-407E-A947-70E740481C1C}">
              <a14:useLocalDpi xmlns:a14="http://schemas.microsoft.com/office/drawing/2010/main" val="0"/>
            </a:ext>
          </a:extLst>
        </a:blip>
        <a:srcRect r="10701"/>
        <a:stretch/>
      </xdr:blipFill>
      <xdr:spPr bwMode="auto">
        <a:xfrm>
          <a:off x="825554" y="3732439"/>
          <a:ext cx="862053" cy="993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136072</xdr:colOff>
      <xdr:row>11</xdr:row>
      <xdr:rowOff>27214</xdr:rowOff>
    </xdr:from>
    <xdr:to>
      <xdr:col>2</xdr:col>
      <xdr:colOff>957942</xdr:colOff>
      <xdr:row>11</xdr:row>
      <xdr:rowOff>1020534</xdr:rowOff>
    </xdr:to>
    <xdr:pic>
      <xdr:nvPicPr>
        <xdr:cNvPr id="31" name="Imagen 2">
          <a:extLst>
            <a:ext uri="{FF2B5EF4-FFF2-40B4-BE49-F238E27FC236}">
              <a16:creationId xmlns:a16="http://schemas.microsoft.com/office/drawing/2014/main" id="{25415ECF-A7D4-41CA-8ABE-09D0A595D135}"/>
            </a:ext>
          </a:extLst>
        </xdr:cNvPr>
        <xdr:cNvPicPr>
          <a:picLocks noChangeAspect="1" noChangeArrowheads="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r="17649"/>
        <a:stretch/>
      </xdr:blipFill>
      <xdr:spPr bwMode="auto">
        <a:xfrm>
          <a:off x="859972" y="7361464"/>
          <a:ext cx="821870" cy="993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95250</xdr:colOff>
      <xdr:row>40</xdr:row>
      <xdr:rowOff>13607</xdr:rowOff>
    </xdr:from>
    <xdr:to>
      <xdr:col>2</xdr:col>
      <xdr:colOff>955508</xdr:colOff>
      <xdr:row>40</xdr:row>
      <xdr:rowOff>881742</xdr:rowOff>
    </xdr:to>
    <xdr:pic>
      <xdr:nvPicPr>
        <xdr:cNvPr id="32" name="Imagen 31">
          <a:extLst>
            <a:ext uri="{FF2B5EF4-FFF2-40B4-BE49-F238E27FC236}">
              <a16:creationId xmlns:a16="http://schemas.microsoft.com/office/drawing/2014/main" id="{62DB3884-C03C-4E00-85B6-E644DCD39857}"/>
            </a:ext>
          </a:extLst>
        </xdr:cNvPr>
        <xdr:cNvPicPr>
          <a:picLocks noChangeAspect="1"/>
        </xdr:cNvPicPr>
      </xdr:nvPicPr>
      <xdr:blipFill>
        <a:blip xmlns:r="http://schemas.openxmlformats.org/officeDocument/2006/relationships" r:embed="rId30"/>
        <a:stretch>
          <a:fillRect/>
        </a:stretch>
      </xdr:blipFill>
      <xdr:spPr>
        <a:xfrm>
          <a:off x="819150" y="27655157"/>
          <a:ext cx="860258" cy="868135"/>
        </a:xfrm>
        <a:prstGeom prst="rect">
          <a:avLst/>
        </a:prstGeom>
      </xdr:spPr>
    </xdr:pic>
    <xdr:clientData/>
  </xdr:twoCellAnchor>
  <xdr:twoCellAnchor>
    <xdr:from>
      <xdr:col>2</xdr:col>
      <xdr:colOff>95250</xdr:colOff>
      <xdr:row>89</xdr:row>
      <xdr:rowOff>54429</xdr:rowOff>
    </xdr:from>
    <xdr:to>
      <xdr:col>2</xdr:col>
      <xdr:colOff>898849</xdr:colOff>
      <xdr:row>89</xdr:row>
      <xdr:rowOff>993322</xdr:rowOff>
    </xdr:to>
    <xdr:pic>
      <xdr:nvPicPr>
        <xdr:cNvPr id="33" name="Picture 51">
          <a:extLst>
            <a:ext uri="{FF2B5EF4-FFF2-40B4-BE49-F238E27FC236}">
              <a16:creationId xmlns:a16="http://schemas.microsoft.com/office/drawing/2014/main" id="{9E07DA08-F0BE-4547-83B8-26EE7FEEDD0B}"/>
            </a:ext>
          </a:extLst>
        </xdr:cNvPr>
        <xdr:cNvPicPr>
          <a:picLocks noChangeAspect="1"/>
        </xdr:cNvPicPr>
      </xdr:nvPicPr>
      <xdr:blipFill>
        <a:blip xmlns:r="http://schemas.openxmlformats.org/officeDocument/2006/relationships" r:embed="rId31"/>
        <a:stretch>
          <a:fillRect/>
        </a:stretch>
      </xdr:blipFill>
      <xdr:spPr>
        <a:xfrm>
          <a:off x="819150" y="53089629"/>
          <a:ext cx="803599" cy="938893"/>
        </a:xfrm>
        <a:prstGeom prst="rect">
          <a:avLst/>
        </a:prstGeom>
      </xdr:spPr>
    </xdr:pic>
    <xdr:clientData/>
  </xdr:twoCellAnchor>
  <xdr:twoCellAnchor>
    <xdr:from>
      <xdr:col>2</xdr:col>
      <xdr:colOff>195942</xdr:colOff>
      <xdr:row>124</xdr:row>
      <xdr:rowOff>40821</xdr:rowOff>
    </xdr:from>
    <xdr:to>
      <xdr:col>2</xdr:col>
      <xdr:colOff>979714</xdr:colOff>
      <xdr:row>124</xdr:row>
      <xdr:rowOff>925286</xdr:rowOff>
    </xdr:to>
    <xdr:pic>
      <xdr:nvPicPr>
        <xdr:cNvPr id="34" name="Imagen 33">
          <a:extLst>
            <a:ext uri="{FF2B5EF4-FFF2-40B4-BE49-F238E27FC236}">
              <a16:creationId xmlns:a16="http://schemas.microsoft.com/office/drawing/2014/main" id="{2F577EFA-20B1-4CE7-B819-B75490941AC1}"/>
            </a:ext>
          </a:extLst>
        </xdr:cNvPr>
        <xdr:cNvPicPr>
          <a:picLocks noChangeAspect="1"/>
        </xdr:cNvPicPr>
      </xdr:nvPicPr>
      <xdr:blipFill rotWithShape="1">
        <a:blip xmlns:r="http://schemas.openxmlformats.org/officeDocument/2006/relationships" r:embed="rId32"/>
        <a:srcRect l="11512" r="11746"/>
        <a:stretch/>
      </xdr:blipFill>
      <xdr:spPr>
        <a:xfrm>
          <a:off x="919842" y="83289321"/>
          <a:ext cx="783772" cy="884465"/>
        </a:xfrm>
        <a:prstGeom prst="rect">
          <a:avLst/>
        </a:prstGeom>
      </xdr:spPr>
    </xdr:pic>
    <xdr:clientData/>
  </xdr:twoCellAnchor>
  <xdr:twoCellAnchor>
    <xdr:from>
      <xdr:col>2</xdr:col>
      <xdr:colOff>149679</xdr:colOff>
      <xdr:row>132</xdr:row>
      <xdr:rowOff>122465</xdr:rowOff>
    </xdr:from>
    <xdr:to>
      <xdr:col>2</xdr:col>
      <xdr:colOff>857250</xdr:colOff>
      <xdr:row>132</xdr:row>
      <xdr:rowOff>1006929</xdr:rowOff>
    </xdr:to>
    <xdr:pic>
      <xdr:nvPicPr>
        <xdr:cNvPr id="35" name="Imagen 34">
          <a:extLst>
            <a:ext uri="{FF2B5EF4-FFF2-40B4-BE49-F238E27FC236}">
              <a16:creationId xmlns:a16="http://schemas.microsoft.com/office/drawing/2014/main" id="{2EA87CC1-D371-42E5-9F22-2FD82FAB7653}"/>
            </a:ext>
          </a:extLst>
        </xdr:cNvPr>
        <xdr:cNvPicPr>
          <a:picLocks noChangeAspect="1"/>
        </xdr:cNvPicPr>
      </xdr:nvPicPr>
      <xdr:blipFill>
        <a:blip xmlns:r="http://schemas.openxmlformats.org/officeDocument/2006/relationships" r:embed="rId33"/>
        <a:stretch>
          <a:fillRect/>
        </a:stretch>
      </xdr:blipFill>
      <xdr:spPr>
        <a:xfrm>
          <a:off x="873579" y="88857365"/>
          <a:ext cx="707571" cy="884464"/>
        </a:xfrm>
        <a:prstGeom prst="rect">
          <a:avLst/>
        </a:prstGeom>
      </xdr:spPr>
    </xdr:pic>
    <xdr:clientData/>
  </xdr:twoCellAnchor>
  <xdr:twoCellAnchor>
    <xdr:from>
      <xdr:col>2</xdr:col>
      <xdr:colOff>231321</xdr:colOff>
      <xdr:row>136</xdr:row>
      <xdr:rowOff>108857</xdr:rowOff>
    </xdr:from>
    <xdr:to>
      <xdr:col>2</xdr:col>
      <xdr:colOff>821797</xdr:colOff>
      <xdr:row>137</xdr:row>
      <xdr:rowOff>31178</xdr:rowOff>
    </xdr:to>
    <xdr:pic>
      <xdr:nvPicPr>
        <xdr:cNvPr id="36" name="Imagen 35">
          <a:extLst>
            <a:ext uri="{FF2B5EF4-FFF2-40B4-BE49-F238E27FC236}">
              <a16:creationId xmlns:a16="http://schemas.microsoft.com/office/drawing/2014/main" id="{C9AAC2F9-38BD-4FA7-ABE6-E9B2462EC261}"/>
            </a:ext>
          </a:extLst>
        </xdr:cNvPr>
        <xdr:cNvPicPr>
          <a:picLocks noChangeAspect="1"/>
        </xdr:cNvPicPr>
      </xdr:nvPicPr>
      <xdr:blipFill>
        <a:blip xmlns:r="http://schemas.openxmlformats.org/officeDocument/2006/relationships" r:embed="rId34"/>
        <a:stretch>
          <a:fillRect/>
        </a:stretch>
      </xdr:blipFill>
      <xdr:spPr>
        <a:xfrm>
          <a:off x="955221" y="91358357"/>
          <a:ext cx="590476" cy="951021"/>
        </a:xfrm>
        <a:prstGeom prst="rect">
          <a:avLst/>
        </a:prstGeom>
      </xdr:spPr>
    </xdr:pic>
    <xdr:clientData/>
  </xdr:twoCellAnchor>
  <xdr:twoCellAnchor>
    <xdr:from>
      <xdr:col>2</xdr:col>
      <xdr:colOff>272144</xdr:colOff>
      <xdr:row>137</xdr:row>
      <xdr:rowOff>299356</xdr:rowOff>
    </xdr:from>
    <xdr:to>
      <xdr:col>2</xdr:col>
      <xdr:colOff>862620</xdr:colOff>
      <xdr:row>138</xdr:row>
      <xdr:rowOff>58392</xdr:rowOff>
    </xdr:to>
    <xdr:pic>
      <xdr:nvPicPr>
        <xdr:cNvPr id="37" name="Imagen 36">
          <a:extLst>
            <a:ext uri="{FF2B5EF4-FFF2-40B4-BE49-F238E27FC236}">
              <a16:creationId xmlns:a16="http://schemas.microsoft.com/office/drawing/2014/main" id="{0ECCE64A-7667-4D8B-AF14-D5002C824C8C}"/>
            </a:ext>
          </a:extLst>
        </xdr:cNvPr>
        <xdr:cNvPicPr>
          <a:picLocks noChangeAspect="1"/>
        </xdr:cNvPicPr>
      </xdr:nvPicPr>
      <xdr:blipFill>
        <a:blip xmlns:r="http://schemas.openxmlformats.org/officeDocument/2006/relationships" r:embed="rId34"/>
        <a:stretch>
          <a:fillRect/>
        </a:stretch>
      </xdr:blipFill>
      <xdr:spPr>
        <a:xfrm>
          <a:off x="996044" y="92577556"/>
          <a:ext cx="590476" cy="911561"/>
        </a:xfrm>
        <a:prstGeom prst="rect">
          <a:avLst/>
        </a:prstGeom>
      </xdr:spPr>
    </xdr:pic>
    <xdr:clientData/>
  </xdr:twoCellAnchor>
  <xdr:twoCellAnchor>
    <xdr:from>
      <xdr:col>2</xdr:col>
      <xdr:colOff>258536</xdr:colOff>
      <xdr:row>138</xdr:row>
      <xdr:rowOff>285750</xdr:rowOff>
    </xdr:from>
    <xdr:to>
      <xdr:col>2</xdr:col>
      <xdr:colOff>849012</xdr:colOff>
      <xdr:row>138</xdr:row>
      <xdr:rowOff>1242215</xdr:rowOff>
    </xdr:to>
    <xdr:pic>
      <xdr:nvPicPr>
        <xdr:cNvPr id="38" name="Imagen 37">
          <a:extLst>
            <a:ext uri="{FF2B5EF4-FFF2-40B4-BE49-F238E27FC236}">
              <a16:creationId xmlns:a16="http://schemas.microsoft.com/office/drawing/2014/main" id="{6F8BDC5F-FEAD-4328-9FF8-624FD387B19D}"/>
            </a:ext>
          </a:extLst>
        </xdr:cNvPr>
        <xdr:cNvPicPr>
          <a:picLocks noChangeAspect="1"/>
        </xdr:cNvPicPr>
      </xdr:nvPicPr>
      <xdr:blipFill>
        <a:blip xmlns:r="http://schemas.openxmlformats.org/officeDocument/2006/relationships" r:embed="rId34"/>
        <a:stretch>
          <a:fillRect/>
        </a:stretch>
      </xdr:blipFill>
      <xdr:spPr>
        <a:xfrm>
          <a:off x="982436" y="93716475"/>
          <a:ext cx="590476" cy="956465"/>
        </a:xfrm>
        <a:prstGeom prst="rect">
          <a:avLst/>
        </a:prstGeom>
      </xdr:spPr>
    </xdr:pic>
    <xdr:clientData/>
  </xdr:twoCellAnchor>
  <xdr:twoCellAnchor>
    <xdr:from>
      <xdr:col>2</xdr:col>
      <xdr:colOff>223157</xdr:colOff>
      <xdr:row>139</xdr:row>
      <xdr:rowOff>201386</xdr:rowOff>
    </xdr:from>
    <xdr:to>
      <xdr:col>2</xdr:col>
      <xdr:colOff>966014</xdr:colOff>
      <xdr:row>139</xdr:row>
      <xdr:rowOff>1058529</xdr:rowOff>
    </xdr:to>
    <xdr:pic>
      <xdr:nvPicPr>
        <xdr:cNvPr id="39" name="Imagen 38">
          <a:extLst>
            <a:ext uri="{FF2B5EF4-FFF2-40B4-BE49-F238E27FC236}">
              <a16:creationId xmlns:a16="http://schemas.microsoft.com/office/drawing/2014/main" id="{70F9480B-6B1A-4E61-9616-76060E7CA2C2}"/>
            </a:ext>
          </a:extLst>
        </xdr:cNvPr>
        <xdr:cNvPicPr>
          <a:picLocks noChangeAspect="1"/>
        </xdr:cNvPicPr>
      </xdr:nvPicPr>
      <xdr:blipFill>
        <a:blip xmlns:r="http://schemas.openxmlformats.org/officeDocument/2006/relationships" r:embed="rId35"/>
        <a:stretch>
          <a:fillRect/>
        </a:stretch>
      </xdr:blipFill>
      <xdr:spPr>
        <a:xfrm>
          <a:off x="947057" y="94879886"/>
          <a:ext cx="742857" cy="857143"/>
        </a:xfrm>
        <a:prstGeom prst="rect">
          <a:avLst/>
        </a:prstGeom>
      </xdr:spPr>
    </xdr:pic>
    <xdr:clientData/>
  </xdr:twoCellAnchor>
  <xdr:twoCellAnchor>
    <xdr:from>
      <xdr:col>2</xdr:col>
      <xdr:colOff>108857</xdr:colOff>
      <xdr:row>129</xdr:row>
      <xdr:rowOff>149679</xdr:rowOff>
    </xdr:from>
    <xdr:to>
      <xdr:col>2</xdr:col>
      <xdr:colOff>1016511</xdr:colOff>
      <xdr:row>129</xdr:row>
      <xdr:rowOff>1020536</xdr:rowOff>
    </xdr:to>
    <xdr:pic>
      <xdr:nvPicPr>
        <xdr:cNvPr id="40" name="Imagen 39">
          <a:extLst>
            <a:ext uri="{FF2B5EF4-FFF2-40B4-BE49-F238E27FC236}">
              <a16:creationId xmlns:a16="http://schemas.microsoft.com/office/drawing/2014/main" id="{38EEAF3E-13A8-43F4-A472-E670D994FABC}"/>
            </a:ext>
          </a:extLst>
        </xdr:cNvPr>
        <xdr:cNvPicPr>
          <a:picLocks noChangeAspect="1"/>
        </xdr:cNvPicPr>
      </xdr:nvPicPr>
      <xdr:blipFill>
        <a:blip xmlns:r="http://schemas.openxmlformats.org/officeDocument/2006/relationships" r:embed="rId36"/>
        <a:stretch>
          <a:fillRect/>
        </a:stretch>
      </xdr:blipFill>
      <xdr:spPr>
        <a:xfrm>
          <a:off x="832757" y="86236629"/>
          <a:ext cx="907654" cy="870857"/>
        </a:xfrm>
        <a:prstGeom prst="rect">
          <a:avLst/>
        </a:prstGeom>
      </xdr:spPr>
    </xdr:pic>
    <xdr:clientData/>
  </xdr:twoCellAnchor>
  <xdr:twoCellAnchor>
    <xdr:from>
      <xdr:col>2</xdr:col>
      <xdr:colOff>122465</xdr:colOff>
      <xdr:row>130</xdr:row>
      <xdr:rowOff>108857</xdr:rowOff>
    </xdr:from>
    <xdr:to>
      <xdr:col>2</xdr:col>
      <xdr:colOff>1030119</xdr:colOff>
      <xdr:row>130</xdr:row>
      <xdr:rowOff>979714</xdr:rowOff>
    </xdr:to>
    <xdr:pic>
      <xdr:nvPicPr>
        <xdr:cNvPr id="41" name="Imagen 40">
          <a:extLst>
            <a:ext uri="{FF2B5EF4-FFF2-40B4-BE49-F238E27FC236}">
              <a16:creationId xmlns:a16="http://schemas.microsoft.com/office/drawing/2014/main" id="{119E2F8D-839E-440D-A226-A58A5E9E4990}"/>
            </a:ext>
          </a:extLst>
        </xdr:cNvPr>
        <xdr:cNvPicPr>
          <a:picLocks noChangeAspect="1"/>
        </xdr:cNvPicPr>
      </xdr:nvPicPr>
      <xdr:blipFill>
        <a:blip xmlns:r="http://schemas.openxmlformats.org/officeDocument/2006/relationships" r:embed="rId36"/>
        <a:stretch>
          <a:fillRect/>
        </a:stretch>
      </xdr:blipFill>
      <xdr:spPr>
        <a:xfrm>
          <a:off x="846365" y="87443582"/>
          <a:ext cx="907654" cy="870857"/>
        </a:xfrm>
        <a:prstGeom prst="rect">
          <a:avLst/>
        </a:prstGeom>
      </xdr:spPr>
    </xdr:pic>
    <xdr:clientData/>
  </xdr:twoCellAnchor>
  <xdr:twoCellAnchor>
    <xdr:from>
      <xdr:col>2</xdr:col>
      <xdr:colOff>220435</xdr:colOff>
      <xdr:row>123</xdr:row>
      <xdr:rowOff>0</xdr:rowOff>
    </xdr:from>
    <xdr:to>
      <xdr:col>2</xdr:col>
      <xdr:colOff>941613</xdr:colOff>
      <xdr:row>123</xdr:row>
      <xdr:rowOff>892178</xdr:rowOff>
    </xdr:to>
    <xdr:pic>
      <xdr:nvPicPr>
        <xdr:cNvPr id="42" name="Imagen 41">
          <a:extLst>
            <a:ext uri="{FF2B5EF4-FFF2-40B4-BE49-F238E27FC236}">
              <a16:creationId xmlns:a16="http://schemas.microsoft.com/office/drawing/2014/main" id="{02816E4B-12D7-4A54-9F90-CD1D70AF4E70}"/>
            </a:ext>
          </a:extLst>
        </xdr:cNvPr>
        <xdr:cNvPicPr>
          <a:picLocks noChangeAspect="1"/>
        </xdr:cNvPicPr>
      </xdr:nvPicPr>
      <xdr:blipFill>
        <a:blip xmlns:r="http://schemas.openxmlformats.org/officeDocument/2006/relationships" r:embed="rId37">
          <a:extLst>
            <a:ext uri="{BEBA8EAE-BF5A-486C-A8C5-ECC9F3942E4B}">
              <a14:imgProps xmlns:a14="http://schemas.microsoft.com/office/drawing/2010/main">
                <a14:imgLayer r:embed="rId38">
                  <a14:imgEffect>
                    <a14:colorTemperature colorTemp="6083"/>
                  </a14:imgEffect>
                  <a14:imgEffect>
                    <a14:saturation sat="61000"/>
                  </a14:imgEffect>
                  <a14:imgEffect>
                    <a14:brightnessContrast bright="-6000" contrast="-7000"/>
                  </a14:imgEffect>
                </a14:imgLayer>
              </a14:imgProps>
            </a:ext>
          </a:extLst>
        </a:blip>
        <a:stretch>
          <a:fillRect/>
        </a:stretch>
      </xdr:blipFill>
      <xdr:spPr>
        <a:xfrm>
          <a:off x="944335" y="82248375"/>
          <a:ext cx="721178" cy="892178"/>
        </a:xfrm>
        <a:prstGeom prst="rect">
          <a:avLst/>
        </a:prstGeom>
      </xdr:spPr>
    </xdr:pic>
    <xdr:clientData/>
  </xdr:twoCellAnchor>
  <xdr:twoCellAnchor>
    <xdr:from>
      <xdr:col>2</xdr:col>
      <xdr:colOff>152400</xdr:colOff>
      <xdr:row>45</xdr:row>
      <xdr:rowOff>185058</xdr:rowOff>
    </xdr:from>
    <xdr:to>
      <xdr:col>2</xdr:col>
      <xdr:colOff>955222</xdr:colOff>
      <xdr:row>45</xdr:row>
      <xdr:rowOff>1317171</xdr:rowOff>
    </xdr:to>
    <xdr:pic>
      <xdr:nvPicPr>
        <xdr:cNvPr id="43" name="Imagen 42">
          <a:extLst>
            <a:ext uri="{FF2B5EF4-FFF2-40B4-BE49-F238E27FC236}">
              <a16:creationId xmlns:a16="http://schemas.microsoft.com/office/drawing/2014/main" id="{4C04B0D5-3DBE-4156-961C-B66678DC77BC}"/>
            </a:ext>
          </a:extLst>
        </xdr:cNvPr>
        <xdr:cNvPicPr>
          <a:picLocks noChangeAspect="1"/>
        </xdr:cNvPicPr>
      </xdr:nvPicPr>
      <xdr:blipFill>
        <a:blip xmlns:r="http://schemas.openxmlformats.org/officeDocument/2006/relationships" r:embed="rId39">
          <a:extLst>
            <a:ext uri="{BEBA8EAE-BF5A-486C-A8C5-ECC9F3942E4B}">
              <a14:imgProps xmlns:a14="http://schemas.microsoft.com/office/drawing/2010/main">
                <a14:imgLayer r:embed="rId40">
                  <a14:imgEffect>
                    <a14:brightnessContrast bright="22000" contrast="-4000"/>
                  </a14:imgEffect>
                </a14:imgLayer>
              </a14:imgProps>
            </a:ext>
          </a:extLst>
        </a:blip>
        <a:stretch>
          <a:fillRect/>
        </a:stretch>
      </xdr:blipFill>
      <xdr:spPr>
        <a:xfrm>
          <a:off x="876300" y="29760183"/>
          <a:ext cx="802822" cy="1132113"/>
        </a:xfrm>
        <a:prstGeom prst="rect">
          <a:avLst/>
        </a:prstGeom>
      </xdr:spPr>
    </xdr:pic>
    <xdr:clientData/>
  </xdr:twoCellAnchor>
  <xdr:twoCellAnchor>
    <xdr:from>
      <xdr:col>2</xdr:col>
      <xdr:colOff>110797</xdr:colOff>
      <xdr:row>190</xdr:row>
      <xdr:rowOff>89647</xdr:rowOff>
    </xdr:from>
    <xdr:to>
      <xdr:col>2</xdr:col>
      <xdr:colOff>947919</xdr:colOff>
      <xdr:row>190</xdr:row>
      <xdr:rowOff>1143000</xdr:rowOff>
    </xdr:to>
    <xdr:pic>
      <xdr:nvPicPr>
        <xdr:cNvPr id="44" name="Imagen 43">
          <a:extLst>
            <a:ext uri="{FF2B5EF4-FFF2-40B4-BE49-F238E27FC236}">
              <a16:creationId xmlns:a16="http://schemas.microsoft.com/office/drawing/2014/main" id="{355DF2F8-55B4-4247-A6AC-3E19987F603F}"/>
            </a:ext>
          </a:extLst>
        </xdr:cNvPr>
        <xdr:cNvPicPr>
          <a:picLocks noChangeAspect="1"/>
        </xdr:cNvPicPr>
      </xdr:nvPicPr>
      <xdr:blipFill>
        <a:blip xmlns:r="http://schemas.openxmlformats.org/officeDocument/2006/relationships" r:embed="rId41">
          <a:extLst>
            <a:ext uri="{BEBA8EAE-BF5A-486C-A8C5-ECC9F3942E4B}">
              <a14:imgProps xmlns:a14="http://schemas.microsoft.com/office/drawing/2010/main">
                <a14:imgLayer r:embed="rId42">
                  <a14:imgEffect>
                    <a14:sharpenSoften amount="-39000"/>
                  </a14:imgEffect>
                  <a14:imgEffect>
                    <a14:saturation sat="49000"/>
                  </a14:imgEffect>
                  <a14:imgEffect>
                    <a14:brightnessContrast bright="10000"/>
                  </a14:imgEffect>
                </a14:imgLayer>
              </a14:imgProps>
            </a:ext>
          </a:extLst>
        </a:blip>
        <a:stretch>
          <a:fillRect/>
        </a:stretch>
      </xdr:blipFill>
      <xdr:spPr>
        <a:xfrm>
          <a:off x="834697" y="127076947"/>
          <a:ext cx="837122" cy="1053353"/>
        </a:xfrm>
        <a:prstGeom prst="rect">
          <a:avLst/>
        </a:prstGeom>
      </xdr:spPr>
    </xdr:pic>
    <xdr:clientData/>
  </xdr:twoCellAnchor>
  <xdr:twoCellAnchor>
    <xdr:from>
      <xdr:col>2</xdr:col>
      <xdr:colOff>116541</xdr:colOff>
      <xdr:row>216</xdr:row>
      <xdr:rowOff>230527</xdr:rowOff>
    </xdr:from>
    <xdr:to>
      <xdr:col>2</xdr:col>
      <xdr:colOff>923365</xdr:colOff>
      <xdr:row>216</xdr:row>
      <xdr:rowOff>806822</xdr:rowOff>
    </xdr:to>
    <xdr:pic>
      <xdr:nvPicPr>
        <xdr:cNvPr id="45" name="Imagen 44">
          <a:extLst>
            <a:ext uri="{FF2B5EF4-FFF2-40B4-BE49-F238E27FC236}">
              <a16:creationId xmlns:a16="http://schemas.microsoft.com/office/drawing/2014/main" id="{424DE6FA-7E46-4F47-958C-05DC6DA7707B}"/>
            </a:ext>
          </a:extLst>
        </xdr:cNvPr>
        <xdr:cNvPicPr>
          <a:picLocks noChangeAspect="1"/>
        </xdr:cNvPicPr>
      </xdr:nvPicPr>
      <xdr:blipFill rotWithShape="1">
        <a:blip xmlns:r="http://schemas.openxmlformats.org/officeDocument/2006/relationships" r:embed="rId43">
          <a:extLst>
            <a:ext uri="{BEBA8EAE-BF5A-486C-A8C5-ECC9F3942E4B}">
              <a14:imgProps xmlns:a14="http://schemas.microsoft.com/office/drawing/2010/main">
                <a14:imgLayer r:embed="rId44">
                  <a14:imgEffect>
                    <a14:brightnessContrast bright="22000"/>
                  </a14:imgEffect>
                </a14:imgLayer>
              </a14:imgProps>
            </a:ext>
          </a:extLst>
        </a:blip>
        <a:srcRect l="6192" t="15316"/>
        <a:stretch/>
      </xdr:blipFill>
      <xdr:spPr>
        <a:xfrm>
          <a:off x="840441" y="142591177"/>
          <a:ext cx="806824" cy="576295"/>
        </a:xfrm>
        <a:prstGeom prst="rect">
          <a:avLst/>
        </a:prstGeom>
      </xdr:spPr>
    </xdr:pic>
    <xdr:clientData/>
  </xdr:twoCellAnchor>
  <xdr:twoCellAnchor>
    <xdr:from>
      <xdr:col>2</xdr:col>
      <xdr:colOff>215153</xdr:colOff>
      <xdr:row>215</xdr:row>
      <xdr:rowOff>172571</xdr:rowOff>
    </xdr:from>
    <xdr:to>
      <xdr:col>2</xdr:col>
      <xdr:colOff>941295</xdr:colOff>
      <xdr:row>215</xdr:row>
      <xdr:rowOff>961464</xdr:rowOff>
    </xdr:to>
    <xdr:pic>
      <xdr:nvPicPr>
        <xdr:cNvPr id="46" name="Imagen 45">
          <a:extLst>
            <a:ext uri="{FF2B5EF4-FFF2-40B4-BE49-F238E27FC236}">
              <a16:creationId xmlns:a16="http://schemas.microsoft.com/office/drawing/2014/main" id="{93C296FE-6969-4BC8-A98C-A5133045C2C6}"/>
            </a:ext>
          </a:extLst>
        </xdr:cNvPr>
        <xdr:cNvPicPr>
          <a:picLocks noChangeAspect="1"/>
        </xdr:cNvPicPr>
      </xdr:nvPicPr>
      <xdr:blipFill>
        <a:blip xmlns:r="http://schemas.openxmlformats.org/officeDocument/2006/relationships" r:embed="rId45"/>
        <a:stretch>
          <a:fillRect/>
        </a:stretch>
      </xdr:blipFill>
      <xdr:spPr>
        <a:xfrm>
          <a:off x="939053" y="141504521"/>
          <a:ext cx="726142" cy="788893"/>
        </a:xfrm>
        <a:prstGeom prst="rect">
          <a:avLst/>
        </a:prstGeom>
      </xdr:spPr>
    </xdr:pic>
    <xdr:clientData/>
  </xdr:twoCellAnchor>
  <xdr:twoCellAnchor>
    <xdr:from>
      <xdr:col>2</xdr:col>
      <xdr:colOff>134471</xdr:colOff>
      <xdr:row>127</xdr:row>
      <xdr:rowOff>11206</xdr:rowOff>
    </xdr:from>
    <xdr:to>
      <xdr:col>2</xdr:col>
      <xdr:colOff>981138</xdr:colOff>
      <xdr:row>128</xdr:row>
      <xdr:rowOff>240051</xdr:rowOff>
    </xdr:to>
    <xdr:pic>
      <xdr:nvPicPr>
        <xdr:cNvPr id="47" name="Imagen 46">
          <a:extLst>
            <a:ext uri="{FF2B5EF4-FFF2-40B4-BE49-F238E27FC236}">
              <a16:creationId xmlns:a16="http://schemas.microsoft.com/office/drawing/2014/main" id="{6E9BBD0D-4ED5-456E-B4EE-632786CFA92A}"/>
            </a:ext>
          </a:extLst>
        </xdr:cNvPr>
        <xdr:cNvPicPr>
          <a:picLocks noChangeAspect="1"/>
        </xdr:cNvPicPr>
      </xdr:nvPicPr>
      <xdr:blipFill rotWithShape="1">
        <a:blip xmlns:r="http://schemas.openxmlformats.org/officeDocument/2006/relationships" r:embed="rId46"/>
        <a:srcRect l="4348" t="1139"/>
        <a:stretch/>
      </xdr:blipFill>
      <xdr:spPr>
        <a:xfrm>
          <a:off x="858371" y="84783706"/>
          <a:ext cx="846667" cy="838445"/>
        </a:xfrm>
        <a:prstGeom prst="rect">
          <a:avLst/>
        </a:prstGeom>
      </xdr:spPr>
    </xdr:pic>
    <xdr:clientData/>
  </xdr:twoCellAnchor>
  <xdr:twoCellAnchor>
    <xdr:from>
      <xdr:col>2</xdr:col>
      <xdr:colOff>67235</xdr:colOff>
      <xdr:row>135</xdr:row>
      <xdr:rowOff>67235</xdr:rowOff>
    </xdr:from>
    <xdr:to>
      <xdr:col>2</xdr:col>
      <xdr:colOff>998568</xdr:colOff>
      <xdr:row>135</xdr:row>
      <xdr:rowOff>843346</xdr:rowOff>
    </xdr:to>
    <xdr:pic>
      <xdr:nvPicPr>
        <xdr:cNvPr id="48" name="Imagen 47">
          <a:extLst>
            <a:ext uri="{FF2B5EF4-FFF2-40B4-BE49-F238E27FC236}">
              <a16:creationId xmlns:a16="http://schemas.microsoft.com/office/drawing/2014/main" id="{47F17D31-F431-42D2-A876-73D73F89C822}"/>
            </a:ext>
          </a:extLst>
        </xdr:cNvPr>
        <xdr:cNvPicPr>
          <a:picLocks noChangeAspect="1"/>
        </xdr:cNvPicPr>
      </xdr:nvPicPr>
      <xdr:blipFill>
        <a:blip xmlns:r="http://schemas.openxmlformats.org/officeDocument/2006/relationships" r:embed="rId47"/>
        <a:stretch>
          <a:fillRect/>
        </a:stretch>
      </xdr:blipFill>
      <xdr:spPr>
        <a:xfrm>
          <a:off x="791135" y="90316610"/>
          <a:ext cx="931333" cy="776111"/>
        </a:xfrm>
        <a:prstGeom prst="rect">
          <a:avLst/>
        </a:prstGeom>
      </xdr:spPr>
    </xdr:pic>
    <xdr:clientData/>
  </xdr:twoCellAnchor>
  <xdr:twoCellAnchor>
    <xdr:from>
      <xdr:col>2</xdr:col>
      <xdr:colOff>156882</xdr:colOff>
      <xdr:row>211</xdr:row>
      <xdr:rowOff>179294</xdr:rowOff>
    </xdr:from>
    <xdr:to>
      <xdr:col>2</xdr:col>
      <xdr:colOff>899739</xdr:colOff>
      <xdr:row>211</xdr:row>
      <xdr:rowOff>769770</xdr:rowOff>
    </xdr:to>
    <xdr:pic>
      <xdr:nvPicPr>
        <xdr:cNvPr id="49" name="Imagen 48">
          <a:extLst>
            <a:ext uri="{FF2B5EF4-FFF2-40B4-BE49-F238E27FC236}">
              <a16:creationId xmlns:a16="http://schemas.microsoft.com/office/drawing/2014/main" id="{084DFF0D-0CBA-431E-A914-A9E8E27ED476}"/>
            </a:ext>
          </a:extLst>
        </xdr:cNvPr>
        <xdr:cNvPicPr>
          <a:picLocks noChangeAspect="1"/>
        </xdr:cNvPicPr>
      </xdr:nvPicPr>
      <xdr:blipFill>
        <a:blip xmlns:r="http://schemas.openxmlformats.org/officeDocument/2006/relationships" r:embed="rId48"/>
        <a:stretch>
          <a:fillRect/>
        </a:stretch>
      </xdr:blipFill>
      <xdr:spPr>
        <a:xfrm>
          <a:off x="880782" y="138072719"/>
          <a:ext cx="742857" cy="590476"/>
        </a:xfrm>
        <a:prstGeom prst="rect">
          <a:avLst/>
        </a:prstGeom>
      </xdr:spPr>
    </xdr:pic>
    <xdr:clientData/>
  </xdr:twoCellAnchor>
  <xdr:twoCellAnchor>
    <xdr:from>
      <xdr:col>2</xdr:col>
      <xdr:colOff>89647</xdr:colOff>
      <xdr:row>214</xdr:row>
      <xdr:rowOff>168088</xdr:rowOff>
    </xdr:from>
    <xdr:to>
      <xdr:col>2</xdr:col>
      <xdr:colOff>945787</xdr:colOff>
      <xdr:row>214</xdr:row>
      <xdr:rowOff>795617</xdr:rowOff>
    </xdr:to>
    <xdr:pic>
      <xdr:nvPicPr>
        <xdr:cNvPr id="50" name="Imagen 49">
          <a:extLst>
            <a:ext uri="{FF2B5EF4-FFF2-40B4-BE49-F238E27FC236}">
              <a16:creationId xmlns:a16="http://schemas.microsoft.com/office/drawing/2014/main" id="{218FE8BB-2ADF-4487-A65A-F64D1875568D}"/>
            </a:ext>
          </a:extLst>
        </xdr:cNvPr>
        <xdr:cNvPicPr>
          <a:picLocks noChangeAspect="1"/>
        </xdr:cNvPicPr>
      </xdr:nvPicPr>
      <xdr:blipFill>
        <a:blip xmlns:r="http://schemas.openxmlformats.org/officeDocument/2006/relationships" r:embed="rId49"/>
        <a:stretch>
          <a:fillRect/>
        </a:stretch>
      </xdr:blipFill>
      <xdr:spPr>
        <a:xfrm>
          <a:off x="813547" y="140518963"/>
          <a:ext cx="856140" cy="627529"/>
        </a:xfrm>
        <a:prstGeom prst="rect">
          <a:avLst/>
        </a:prstGeom>
      </xdr:spPr>
    </xdr:pic>
    <xdr:clientData/>
  </xdr:twoCellAnchor>
  <xdr:twoCellAnchor>
    <xdr:from>
      <xdr:col>2</xdr:col>
      <xdr:colOff>172595</xdr:colOff>
      <xdr:row>102</xdr:row>
      <xdr:rowOff>244338</xdr:rowOff>
    </xdr:from>
    <xdr:to>
      <xdr:col>2</xdr:col>
      <xdr:colOff>976194</xdr:colOff>
      <xdr:row>102</xdr:row>
      <xdr:rowOff>1259902</xdr:rowOff>
    </xdr:to>
    <xdr:pic>
      <xdr:nvPicPr>
        <xdr:cNvPr id="51" name="Picture 51">
          <a:extLst>
            <a:ext uri="{FF2B5EF4-FFF2-40B4-BE49-F238E27FC236}">
              <a16:creationId xmlns:a16="http://schemas.microsoft.com/office/drawing/2014/main" id="{39ECBDB6-3DBD-4CF5-B45F-04067B19DC88}"/>
            </a:ext>
          </a:extLst>
        </xdr:cNvPr>
        <xdr:cNvPicPr>
          <a:picLocks noChangeAspect="1"/>
        </xdr:cNvPicPr>
      </xdr:nvPicPr>
      <xdr:blipFill>
        <a:blip xmlns:r="http://schemas.openxmlformats.org/officeDocument/2006/relationships" r:embed="rId31"/>
        <a:stretch>
          <a:fillRect/>
        </a:stretch>
      </xdr:blipFill>
      <xdr:spPr>
        <a:xfrm>
          <a:off x="896495" y="63195063"/>
          <a:ext cx="803599" cy="1015564"/>
        </a:xfrm>
        <a:prstGeom prst="rect">
          <a:avLst/>
        </a:prstGeom>
      </xdr:spPr>
    </xdr:pic>
    <xdr:clientData/>
  </xdr:twoCellAnchor>
  <xdr:twoCellAnchor>
    <xdr:from>
      <xdr:col>2</xdr:col>
      <xdr:colOff>136501</xdr:colOff>
      <xdr:row>104</xdr:row>
      <xdr:rowOff>74953</xdr:rowOff>
    </xdr:from>
    <xdr:to>
      <xdr:col>2</xdr:col>
      <xdr:colOff>940100</xdr:colOff>
      <xdr:row>105</xdr:row>
      <xdr:rowOff>11214</xdr:rowOff>
    </xdr:to>
    <xdr:pic>
      <xdr:nvPicPr>
        <xdr:cNvPr id="52" name="Picture 51">
          <a:extLst>
            <a:ext uri="{FF2B5EF4-FFF2-40B4-BE49-F238E27FC236}">
              <a16:creationId xmlns:a16="http://schemas.microsoft.com/office/drawing/2014/main" id="{A22CA4DC-C74B-4F60-A287-E41266C3055E}"/>
            </a:ext>
          </a:extLst>
        </xdr:cNvPr>
        <xdr:cNvPicPr>
          <a:picLocks noChangeAspect="1"/>
        </xdr:cNvPicPr>
      </xdr:nvPicPr>
      <xdr:blipFill>
        <a:blip xmlns:r="http://schemas.openxmlformats.org/officeDocument/2006/relationships" r:embed="rId31"/>
        <a:stretch>
          <a:fillRect/>
        </a:stretch>
      </xdr:blipFill>
      <xdr:spPr>
        <a:xfrm>
          <a:off x="860401" y="65530753"/>
          <a:ext cx="803599" cy="1022111"/>
        </a:xfrm>
        <a:prstGeom prst="rect">
          <a:avLst/>
        </a:prstGeom>
      </xdr:spPr>
    </xdr:pic>
    <xdr:clientData/>
  </xdr:twoCellAnchor>
  <xdr:twoCellAnchor>
    <xdr:from>
      <xdr:col>2</xdr:col>
      <xdr:colOff>64286</xdr:colOff>
      <xdr:row>91</xdr:row>
      <xdr:rowOff>65465</xdr:rowOff>
    </xdr:from>
    <xdr:to>
      <xdr:col>2</xdr:col>
      <xdr:colOff>867885</xdr:colOff>
      <xdr:row>91</xdr:row>
      <xdr:rowOff>1004358</xdr:rowOff>
    </xdr:to>
    <xdr:pic>
      <xdr:nvPicPr>
        <xdr:cNvPr id="53" name="Picture 51">
          <a:extLst>
            <a:ext uri="{FF2B5EF4-FFF2-40B4-BE49-F238E27FC236}">
              <a16:creationId xmlns:a16="http://schemas.microsoft.com/office/drawing/2014/main" id="{FEB14B6D-A9DB-402C-B699-71469B54C370}"/>
            </a:ext>
          </a:extLst>
        </xdr:cNvPr>
        <xdr:cNvPicPr>
          <a:picLocks noChangeAspect="1"/>
        </xdr:cNvPicPr>
      </xdr:nvPicPr>
      <xdr:blipFill>
        <a:blip xmlns:r="http://schemas.openxmlformats.org/officeDocument/2006/relationships" r:embed="rId31"/>
        <a:stretch>
          <a:fillRect/>
        </a:stretch>
      </xdr:blipFill>
      <xdr:spPr>
        <a:xfrm>
          <a:off x="788186" y="55224740"/>
          <a:ext cx="803599" cy="938893"/>
        </a:xfrm>
        <a:prstGeom prst="rect">
          <a:avLst/>
        </a:prstGeom>
      </xdr:spPr>
    </xdr:pic>
    <xdr:clientData/>
  </xdr:twoCellAnchor>
  <xdr:twoCellAnchor>
    <xdr:from>
      <xdr:col>2</xdr:col>
      <xdr:colOff>40105</xdr:colOff>
      <xdr:row>195</xdr:row>
      <xdr:rowOff>70183</xdr:rowOff>
    </xdr:from>
    <xdr:to>
      <xdr:col>2</xdr:col>
      <xdr:colOff>1030942</xdr:colOff>
      <xdr:row>195</xdr:row>
      <xdr:rowOff>818576</xdr:rowOff>
    </xdr:to>
    <xdr:pic>
      <xdr:nvPicPr>
        <xdr:cNvPr id="54" name="Imagen 53">
          <a:extLst>
            <a:ext uri="{FF2B5EF4-FFF2-40B4-BE49-F238E27FC236}">
              <a16:creationId xmlns:a16="http://schemas.microsoft.com/office/drawing/2014/main" id="{5B471CC8-A7CC-4781-8F04-CE3D4B5B8AF5}"/>
            </a:ext>
          </a:extLst>
        </xdr:cNvPr>
        <xdr:cNvPicPr>
          <a:picLocks noChangeAspect="1"/>
        </xdr:cNvPicPr>
      </xdr:nvPicPr>
      <xdr:blipFill>
        <a:blip xmlns:r="http://schemas.openxmlformats.org/officeDocument/2006/relationships" r:embed="rId25"/>
        <a:stretch>
          <a:fillRect/>
        </a:stretch>
      </xdr:blipFill>
      <xdr:spPr>
        <a:xfrm>
          <a:off x="764005" y="129934033"/>
          <a:ext cx="990837" cy="748393"/>
        </a:xfrm>
        <a:prstGeom prst="rect">
          <a:avLst/>
        </a:prstGeom>
      </xdr:spPr>
    </xdr:pic>
    <xdr:clientData/>
  </xdr:twoCellAnchor>
  <xdr:twoCellAnchor>
    <xdr:from>
      <xdr:col>2</xdr:col>
      <xdr:colOff>156883</xdr:colOff>
      <xdr:row>88</xdr:row>
      <xdr:rowOff>67236</xdr:rowOff>
    </xdr:from>
    <xdr:to>
      <xdr:col>2</xdr:col>
      <xdr:colOff>889195</xdr:colOff>
      <xdr:row>88</xdr:row>
      <xdr:rowOff>992521</xdr:rowOff>
    </xdr:to>
    <xdr:pic>
      <xdr:nvPicPr>
        <xdr:cNvPr id="55" name="Picture 42">
          <a:extLst>
            <a:ext uri="{FF2B5EF4-FFF2-40B4-BE49-F238E27FC236}">
              <a16:creationId xmlns:a16="http://schemas.microsoft.com/office/drawing/2014/main" id="{CA0F2077-6460-4A99-8008-7D66D7A245EE}"/>
            </a:ext>
          </a:extLst>
        </xdr:cNvPr>
        <xdr:cNvPicPr>
          <a:picLocks noChangeAspect="1"/>
        </xdr:cNvPicPr>
      </xdr:nvPicPr>
      <xdr:blipFill>
        <a:blip xmlns:r="http://schemas.openxmlformats.org/officeDocument/2006/relationships" r:embed="rId50"/>
        <a:stretch>
          <a:fillRect/>
        </a:stretch>
      </xdr:blipFill>
      <xdr:spPr>
        <a:xfrm>
          <a:off x="880783" y="52016586"/>
          <a:ext cx="732312" cy="925285"/>
        </a:xfrm>
        <a:prstGeom prst="rect">
          <a:avLst/>
        </a:prstGeom>
      </xdr:spPr>
    </xdr:pic>
    <xdr:clientData/>
  </xdr:twoCellAnchor>
  <xdr:twoCellAnchor>
    <xdr:from>
      <xdr:col>2</xdr:col>
      <xdr:colOff>118783</xdr:colOff>
      <xdr:row>90</xdr:row>
      <xdr:rowOff>17930</xdr:rowOff>
    </xdr:from>
    <xdr:to>
      <xdr:col>2</xdr:col>
      <xdr:colOff>851095</xdr:colOff>
      <xdr:row>90</xdr:row>
      <xdr:rowOff>974912</xdr:rowOff>
    </xdr:to>
    <xdr:pic>
      <xdr:nvPicPr>
        <xdr:cNvPr id="56" name="Picture 42">
          <a:extLst>
            <a:ext uri="{FF2B5EF4-FFF2-40B4-BE49-F238E27FC236}">
              <a16:creationId xmlns:a16="http://schemas.microsoft.com/office/drawing/2014/main" id="{8449D4B2-8633-4A84-B955-90E39E7D103C}"/>
            </a:ext>
          </a:extLst>
        </xdr:cNvPr>
        <xdr:cNvPicPr>
          <a:picLocks noChangeAspect="1"/>
        </xdr:cNvPicPr>
      </xdr:nvPicPr>
      <xdr:blipFill>
        <a:blip xmlns:r="http://schemas.openxmlformats.org/officeDocument/2006/relationships" r:embed="rId50"/>
        <a:stretch>
          <a:fillRect/>
        </a:stretch>
      </xdr:blipFill>
      <xdr:spPr>
        <a:xfrm>
          <a:off x="842683" y="54138980"/>
          <a:ext cx="732312" cy="956982"/>
        </a:xfrm>
        <a:prstGeom prst="rect">
          <a:avLst/>
        </a:prstGeom>
      </xdr:spPr>
    </xdr:pic>
    <xdr:clientData/>
  </xdr:twoCellAnchor>
  <xdr:twoCellAnchor>
    <xdr:from>
      <xdr:col>2</xdr:col>
      <xdr:colOff>230842</xdr:colOff>
      <xdr:row>101</xdr:row>
      <xdr:rowOff>51548</xdr:rowOff>
    </xdr:from>
    <xdr:to>
      <xdr:col>2</xdr:col>
      <xdr:colOff>963154</xdr:colOff>
      <xdr:row>102</xdr:row>
      <xdr:rowOff>145676</xdr:rowOff>
    </xdr:to>
    <xdr:pic>
      <xdr:nvPicPr>
        <xdr:cNvPr id="57" name="Picture 42">
          <a:extLst>
            <a:ext uri="{FF2B5EF4-FFF2-40B4-BE49-F238E27FC236}">
              <a16:creationId xmlns:a16="http://schemas.microsoft.com/office/drawing/2014/main" id="{03C71E67-388E-449F-A282-053431E4E80C}"/>
            </a:ext>
          </a:extLst>
        </xdr:cNvPr>
        <xdr:cNvPicPr>
          <a:picLocks noChangeAspect="1"/>
        </xdr:cNvPicPr>
      </xdr:nvPicPr>
      <xdr:blipFill>
        <a:blip xmlns:r="http://schemas.openxmlformats.org/officeDocument/2006/relationships" r:embed="rId50"/>
        <a:stretch>
          <a:fillRect/>
        </a:stretch>
      </xdr:blipFill>
      <xdr:spPr>
        <a:xfrm>
          <a:off x="954742" y="62097398"/>
          <a:ext cx="732312" cy="999003"/>
        </a:xfrm>
        <a:prstGeom prst="rect">
          <a:avLst/>
        </a:prstGeom>
      </xdr:spPr>
    </xdr:pic>
    <xdr:clientData/>
  </xdr:twoCellAnchor>
  <xdr:twoCellAnchor>
    <xdr:from>
      <xdr:col>2</xdr:col>
      <xdr:colOff>215154</xdr:colOff>
      <xdr:row>103</xdr:row>
      <xdr:rowOff>112059</xdr:rowOff>
    </xdr:from>
    <xdr:to>
      <xdr:col>2</xdr:col>
      <xdr:colOff>947466</xdr:colOff>
      <xdr:row>103</xdr:row>
      <xdr:rowOff>1176619</xdr:rowOff>
    </xdr:to>
    <xdr:pic>
      <xdr:nvPicPr>
        <xdr:cNvPr id="58" name="Picture 42">
          <a:extLst>
            <a:ext uri="{FF2B5EF4-FFF2-40B4-BE49-F238E27FC236}">
              <a16:creationId xmlns:a16="http://schemas.microsoft.com/office/drawing/2014/main" id="{BB6ACA4F-B266-4DD7-9B03-6294E17CFFD8}"/>
            </a:ext>
          </a:extLst>
        </xdr:cNvPr>
        <xdr:cNvPicPr>
          <a:picLocks noChangeAspect="1"/>
        </xdr:cNvPicPr>
      </xdr:nvPicPr>
      <xdr:blipFill>
        <a:blip xmlns:r="http://schemas.openxmlformats.org/officeDocument/2006/relationships" r:embed="rId50"/>
        <a:stretch>
          <a:fillRect/>
        </a:stretch>
      </xdr:blipFill>
      <xdr:spPr>
        <a:xfrm>
          <a:off x="939054" y="64367709"/>
          <a:ext cx="732312" cy="1064560"/>
        </a:xfrm>
        <a:prstGeom prst="rect">
          <a:avLst/>
        </a:prstGeom>
      </xdr:spPr>
    </xdr:pic>
    <xdr:clientData/>
  </xdr:twoCellAnchor>
  <xdr:twoCellAnchor>
    <xdr:from>
      <xdr:col>2</xdr:col>
      <xdr:colOff>100853</xdr:colOff>
      <xdr:row>175</xdr:row>
      <xdr:rowOff>89647</xdr:rowOff>
    </xdr:from>
    <xdr:to>
      <xdr:col>2</xdr:col>
      <xdr:colOff>1005180</xdr:colOff>
      <xdr:row>175</xdr:row>
      <xdr:rowOff>896061</xdr:rowOff>
    </xdr:to>
    <xdr:pic>
      <xdr:nvPicPr>
        <xdr:cNvPr id="59" name="Imagen 58" descr="Un refrigerador con la puerta abierta&#10;&#10;Descripción generada automáticamente con confianza baja">
          <a:extLst>
            <a:ext uri="{FF2B5EF4-FFF2-40B4-BE49-F238E27FC236}">
              <a16:creationId xmlns:a16="http://schemas.microsoft.com/office/drawing/2014/main" id="{88592F38-820C-4F25-916A-C57D2CC7FD33}"/>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48514" t="18972" r="25101" b="64164"/>
        <a:stretch/>
      </xdr:blipFill>
      <xdr:spPr>
        <a:xfrm>
          <a:off x="824753" y="118942597"/>
          <a:ext cx="904327" cy="806414"/>
        </a:xfrm>
        <a:prstGeom prst="rect">
          <a:avLst/>
        </a:prstGeom>
      </xdr:spPr>
    </xdr:pic>
    <xdr:clientData/>
  </xdr:twoCellAnchor>
  <xdr:twoCellAnchor>
    <xdr:from>
      <xdr:col>2</xdr:col>
      <xdr:colOff>96371</xdr:colOff>
      <xdr:row>176</xdr:row>
      <xdr:rowOff>96372</xdr:rowOff>
    </xdr:from>
    <xdr:to>
      <xdr:col>2</xdr:col>
      <xdr:colOff>1000698</xdr:colOff>
      <xdr:row>176</xdr:row>
      <xdr:rowOff>902786</xdr:rowOff>
    </xdr:to>
    <xdr:pic>
      <xdr:nvPicPr>
        <xdr:cNvPr id="60" name="Imagen 59" descr="Un refrigerador con la puerta abierta&#10;&#10;Descripción generada automáticamente con confianza baja">
          <a:extLst>
            <a:ext uri="{FF2B5EF4-FFF2-40B4-BE49-F238E27FC236}">
              <a16:creationId xmlns:a16="http://schemas.microsoft.com/office/drawing/2014/main" id="{84D8BB61-DE95-4CC2-99A2-DF20F6680447}"/>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48514" t="18972" r="25101" b="64164"/>
        <a:stretch/>
      </xdr:blipFill>
      <xdr:spPr>
        <a:xfrm>
          <a:off x="820271" y="119911347"/>
          <a:ext cx="904327" cy="806414"/>
        </a:xfrm>
        <a:prstGeom prst="rect">
          <a:avLst/>
        </a:prstGeom>
      </xdr:spPr>
    </xdr:pic>
    <xdr:clientData/>
  </xdr:twoCellAnchor>
  <xdr:twoCellAnchor>
    <xdr:from>
      <xdr:col>2</xdr:col>
      <xdr:colOff>190502</xdr:colOff>
      <xdr:row>197</xdr:row>
      <xdr:rowOff>0</xdr:rowOff>
    </xdr:from>
    <xdr:to>
      <xdr:col>2</xdr:col>
      <xdr:colOff>852352</xdr:colOff>
      <xdr:row>197</xdr:row>
      <xdr:rowOff>782568</xdr:rowOff>
    </xdr:to>
    <xdr:pic>
      <xdr:nvPicPr>
        <xdr:cNvPr id="61" name="Imagen 60">
          <a:extLst>
            <a:ext uri="{FF2B5EF4-FFF2-40B4-BE49-F238E27FC236}">
              <a16:creationId xmlns:a16="http://schemas.microsoft.com/office/drawing/2014/main" id="{87ABA339-61DC-4454-AC59-F7E6A16C4FD0}"/>
            </a:ext>
          </a:extLst>
        </xdr:cNvPr>
        <xdr:cNvPicPr>
          <a:picLocks noChangeAspect="1"/>
        </xdr:cNvPicPr>
      </xdr:nvPicPr>
      <xdr:blipFill>
        <a:blip xmlns:r="http://schemas.openxmlformats.org/officeDocument/2006/relationships" r:embed="rId51">
          <a:extLst>
            <a:ext uri="{BEBA8EAE-BF5A-486C-A8C5-ECC9F3942E4B}">
              <a14:imgProps xmlns:a14="http://schemas.microsoft.com/office/drawing/2010/main">
                <a14:imgLayer r:embed="rId52">
                  <a14:imgEffect>
                    <a14:brightnessContrast bright="23000"/>
                  </a14:imgEffect>
                </a14:imgLayer>
              </a14:imgProps>
            </a:ext>
          </a:extLst>
        </a:blip>
        <a:stretch>
          <a:fillRect/>
        </a:stretch>
      </xdr:blipFill>
      <xdr:spPr>
        <a:xfrm>
          <a:off x="914402" y="130921125"/>
          <a:ext cx="661850" cy="782568"/>
        </a:xfrm>
        <a:prstGeom prst="rect">
          <a:avLst/>
        </a:prstGeom>
      </xdr:spPr>
    </xdr:pic>
    <xdr:clientData/>
  </xdr:twoCellAnchor>
  <xdr:twoCellAnchor>
    <xdr:from>
      <xdr:col>2</xdr:col>
      <xdr:colOff>197225</xdr:colOff>
      <xdr:row>198</xdr:row>
      <xdr:rowOff>85164</xdr:rowOff>
    </xdr:from>
    <xdr:to>
      <xdr:col>2</xdr:col>
      <xdr:colOff>859075</xdr:colOff>
      <xdr:row>198</xdr:row>
      <xdr:rowOff>867732</xdr:rowOff>
    </xdr:to>
    <xdr:pic>
      <xdr:nvPicPr>
        <xdr:cNvPr id="62" name="Imagen 61">
          <a:extLst>
            <a:ext uri="{FF2B5EF4-FFF2-40B4-BE49-F238E27FC236}">
              <a16:creationId xmlns:a16="http://schemas.microsoft.com/office/drawing/2014/main" id="{843069A5-633E-4F1B-B715-1CE1E8DDAE5A}"/>
            </a:ext>
          </a:extLst>
        </xdr:cNvPr>
        <xdr:cNvPicPr>
          <a:picLocks noChangeAspect="1"/>
        </xdr:cNvPicPr>
      </xdr:nvPicPr>
      <xdr:blipFill>
        <a:blip xmlns:r="http://schemas.openxmlformats.org/officeDocument/2006/relationships" r:embed="rId51">
          <a:extLst>
            <a:ext uri="{BEBA8EAE-BF5A-486C-A8C5-ECC9F3942E4B}">
              <a14:imgProps xmlns:a14="http://schemas.microsoft.com/office/drawing/2010/main">
                <a14:imgLayer r:embed="rId52">
                  <a14:imgEffect>
                    <a14:brightnessContrast bright="23000"/>
                  </a14:imgEffect>
                </a14:imgLayer>
              </a14:imgProps>
            </a:ext>
          </a:extLst>
        </a:blip>
        <a:stretch>
          <a:fillRect/>
        </a:stretch>
      </xdr:blipFill>
      <xdr:spPr>
        <a:xfrm>
          <a:off x="921125" y="131825439"/>
          <a:ext cx="661850" cy="782568"/>
        </a:xfrm>
        <a:prstGeom prst="rect">
          <a:avLst/>
        </a:prstGeom>
      </xdr:spPr>
    </xdr:pic>
    <xdr:clientData/>
  </xdr:twoCellAnchor>
  <xdr:twoCellAnchor>
    <xdr:from>
      <xdr:col>2</xdr:col>
      <xdr:colOff>223158</xdr:colOff>
      <xdr:row>109</xdr:row>
      <xdr:rowOff>32657</xdr:rowOff>
    </xdr:from>
    <xdr:to>
      <xdr:col>2</xdr:col>
      <xdr:colOff>926921</xdr:colOff>
      <xdr:row>109</xdr:row>
      <xdr:rowOff>1666153</xdr:rowOff>
    </xdr:to>
    <xdr:pic>
      <xdr:nvPicPr>
        <xdr:cNvPr id="63" name="Imagen 62">
          <a:extLst>
            <a:ext uri="{FF2B5EF4-FFF2-40B4-BE49-F238E27FC236}">
              <a16:creationId xmlns:a16="http://schemas.microsoft.com/office/drawing/2014/main" id="{18996316-13AE-415C-B425-66AF1EC0AE12}"/>
            </a:ext>
          </a:extLst>
        </xdr:cNvPr>
        <xdr:cNvPicPr>
          <a:picLocks noChangeAspect="1"/>
        </xdr:cNvPicPr>
      </xdr:nvPicPr>
      <xdr:blipFill>
        <a:blip xmlns:r="http://schemas.openxmlformats.org/officeDocument/2006/relationships" r:embed="rId53"/>
        <a:stretch>
          <a:fillRect/>
        </a:stretch>
      </xdr:blipFill>
      <xdr:spPr>
        <a:xfrm>
          <a:off x="947058" y="69231782"/>
          <a:ext cx="703763" cy="1633496"/>
        </a:xfrm>
        <a:prstGeom prst="rect">
          <a:avLst/>
        </a:prstGeom>
      </xdr:spPr>
    </xdr:pic>
    <xdr:clientData/>
  </xdr:twoCellAnchor>
  <xdr:twoCellAnchor>
    <xdr:from>
      <xdr:col>2</xdr:col>
      <xdr:colOff>56030</xdr:colOff>
      <xdr:row>48</xdr:row>
      <xdr:rowOff>67235</xdr:rowOff>
    </xdr:from>
    <xdr:to>
      <xdr:col>2</xdr:col>
      <xdr:colOff>1008530</xdr:colOff>
      <xdr:row>51</xdr:row>
      <xdr:rowOff>213095</xdr:rowOff>
    </xdr:to>
    <xdr:pic>
      <xdr:nvPicPr>
        <xdr:cNvPr id="64" name="Imagen 63">
          <a:extLst>
            <a:ext uri="{FF2B5EF4-FFF2-40B4-BE49-F238E27FC236}">
              <a16:creationId xmlns:a16="http://schemas.microsoft.com/office/drawing/2014/main" id="{6441B58C-EFFD-4D4C-BE57-C65D69B2C650}"/>
            </a:ext>
          </a:extLst>
        </xdr:cNvPr>
        <xdr:cNvPicPr>
          <a:picLocks noChangeAspect="1"/>
        </xdr:cNvPicPr>
      </xdr:nvPicPr>
      <xdr:blipFill>
        <a:blip xmlns:r="http://schemas.openxmlformats.org/officeDocument/2006/relationships" r:embed="rId54"/>
        <a:stretch>
          <a:fillRect/>
        </a:stretch>
      </xdr:blipFill>
      <xdr:spPr>
        <a:xfrm>
          <a:off x="779930" y="31537835"/>
          <a:ext cx="952500" cy="831660"/>
        </a:xfrm>
        <a:prstGeom prst="rect">
          <a:avLst/>
        </a:prstGeom>
      </xdr:spPr>
    </xdr:pic>
    <xdr:clientData/>
  </xdr:twoCellAnchor>
  <xdr:twoCellAnchor>
    <xdr:from>
      <xdr:col>2</xdr:col>
      <xdr:colOff>44823</xdr:colOff>
      <xdr:row>209</xdr:row>
      <xdr:rowOff>67236</xdr:rowOff>
    </xdr:from>
    <xdr:to>
      <xdr:col>2</xdr:col>
      <xdr:colOff>964251</xdr:colOff>
      <xdr:row>209</xdr:row>
      <xdr:rowOff>723403</xdr:rowOff>
    </xdr:to>
    <xdr:pic>
      <xdr:nvPicPr>
        <xdr:cNvPr id="65" name="Imagen 64">
          <a:extLst>
            <a:ext uri="{FF2B5EF4-FFF2-40B4-BE49-F238E27FC236}">
              <a16:creationId xmlns:a16="http://schemas.microsoft.com/office/drawing/2014/main" id="{DCE8C1A4-49F5-437C-AEAF-EE35E5CFF512}"/>
            </a:ext>
          </a:extLst>
        </xdr:cNvPr>
        <xdr:cNvPicPr>
          <a:picLocks noChangeAspect="1"/>
        </xdr:cNvPicPr>
      </xdr:nvPicPr>
      <xdr:blipFill>
        <a:blip xmlns:r="http://schemas.openxmlformats.org/officeDocument/2006/relationships" r:embed="rId55"/>
        <a:stretch>
          <a:fillRect/>
        </a:stretch>
      </xdr:blipFill>
      <xdr:spPr>
        <a:xfrm>
          <a:off x="768723" y="136484286"/>
          <a:ext cx="919428" cy="656167"/>
        </a:xfrm>
        <a:prstGeom prst="rect">
          <a:avLst/>
        </a:prstGeom>
      </xdr:spPr>
    </xdr:pic>
    <xdr:clientData/>
  </xdr:twoCellAnchor>
  <xdr:twoCellAnchor>
    <xdr:from>
      <xdr:col>2</xdr:col>
      <xdr:colOff>56032</xdr:colOff>
      <xdr:row>210</xdr:row>
      <xdr:rowOff>89646</xdr:rowOff>
    </xdr:from>
    <xdr:to>
      <xdr:col>2</xdr:col>
      <xdr:colOff>1009651</xdr:colOff>
      <xdr:row>210</xdr:row>
      <xdr:rowOff>590798</xdr:rowOff>
    </xdr:to>
    <xdr:pic>
      <xdr:nvPicPr>
        <xdr:cNvPr id="66" name="Imagen 65">
          <a:extLst>
            <a:ext uri="{FF2B5EF4-FFF2-40B4-BE49-F238E27FC236}">
              <a16:creationId xmlns:a16="http://schemas.microsoft.com/office/drawing/2014/main" id="{401C4896-D8C2-41CA-8E80-DB95E2ACC33F}"/>
            </a:ext>
          </a:extLst>
        </xdr:cNvPr>
        <xdr:cNvPicPr>
          <a:picLocks noChangeAspect="1"/>
        </xdr:cNvPicPr>
      </xdr:nvPicPr>
      <xdr:blipFill>
        <a:blip xmlns:r="http://schemas.openxmlformats.org/officeDocument/2006/relationships" r:embed="rId55"/>
        <a:stretch>
          <a:fillRect/>
        </a:stretch>
      </xdr:blipFill>
      <xdr:spPr>
        <a:xfrm rot="16200000">
          <a:off x="1006166" y="137090087"/>
          <a:ext cx="501152" cy="953619"/>
        </a:xfrm>
        <a:prstGeom prst="rect">
          <a:avLst/>
        </a:prstGeom>
      </xdr:spPr>
    </xdr:pic>
    <xdr:clientData/>
  </xdr:twoCellAnchor>
  <xdr:twoCellAnchor>
    <xdr:from>
      <xdr:col>2</xdr:col>
      <xdr:colOff>179295</xdr:colOff>
      <xdr:row>212</xdr:row>
      <xdr:rowOff>33618</xdr:rowOff>
    </xdr:from>
    <xdr:to>
      <xdr:col>2</xdr:col>
      <xdr:colOff>840443</xdr:colOff>
      <xdr:row>212</xdr:row>
      <xdr:rowOff>509279</xdr:rowOff>
    </xdr:to>
    <xdr:pic>
      <xdr:nvPicPr>
        <xdr:cNvPr id="67" name="Imagen 66">
          <a:extLst>
            <a:ext uri="{FF2B5EF4-FFF2-40B4-BE49-F238E27FC236}">
              <a16:creationId xmlns:a16="http://schemas.microsoft.com/office/drawing/2014/main" id="{626B1BCA-CF96-4593-89FB-EE8D99231CAF}"/>
            </a:ext>
          </a:extLst>
        </xdr:cNvPr>
        <xdr:cNvPicPr>
          <a:picLocks noChangeAspect="1"/>
        </xdr:cNvPicPr>
      </xdr:nvPicPr>
      <xdr:blipFill>
        <a:blip xmlns:r="http://schemas.openxmlformats.org/officeDocument/2006/relationships" r:embed="rId48"/>
        <a:stretch>
          <a:fillRect/>
        </a:stretch>
      </xdr:blipFill>
      <xdr:spPr>
        <a:xfrm>
          <a:off x="903195" y="138831918"/>
          <a:ext cx="661148" cy="475661"/>
        </a:xfrm>
        <a:prstGeom prst="rect">
          <a:avLst/>
        </a:prstGeom>
      </xdr:spPr>
    </xdr:pic>
    <xdr:clientData/>
  </xdr:twoCellAnchor>
  <xdr:twoCellAnchor>
    <xdr:from>
      <xdr:col>2</xdr:col>
      <xdr:colOff>223157</xdr:colOff>
      <xdr:row>110</xdr:row>
      <xdr:rowOff>163286</xdr:rowOff>
    </xdr:from>
    <xdr:to>
      <xdr:col>2</xdr:col>
      <xdr:colOff>925228</xdr:colOff>
      <xdr:row>110</xdr:row>
      <xdr:rowOff>1790700</xdr:rowOff>
    </xdr:to>
    <xdr:pic>
      <xdr:nvPicPr>
        <xdr:cNvPr id="68" name="Imagen 67">
          <a:extLst>
            <a:ext uri="{FF2B5EF4-FFF2-40B4-BE49-F238E27FC236}">
              <a16:creationId xmlns:a16="http://schemas.microsoft.com/office/drawing/2014/main" id="{51B8DE47-02AB-4F58-8055-2EF6E92D8263}"/>
            </a:ext>
          </a:extLst>
        </xdr:cNvPr>
        <xdr:cNvPicPr>
          <a:picLocks noChangeAspect="1"/>
        </xdr:cNvPicPr>
      </xdr:nvPicPr>
      <xdr:blipFill>
        <a:blip xmlns:r="http://schemas.openxmlformats.org/officeDocument/2006/relationships" r:embed="rId53"/>
        <a:stretch>
          <a:fillRect/>
        </a:stretch>
      </xdr:blipFill>
      <xdr:spPr>
        <a:xfrm>
          <a:off x="947057" y="71105486"/>
          <a:ext cx="702071" cy="1627414"/>
        </a:xfrm>
        <a:prstGeom prst="rect">
          <a:avLst/>
        </a:prstGeom>
      </xdr:spPr>
    </xdr:pic>
    <xdr:clientData/>
  </xdr:twoCellAnchor>
  <xdr:twoCellAnchor>
    <xdr:from>
      <xdr:col>2</xdr:col>
      <xdr:colOff>235403</xdr:colOff>
      <xdr:row>108</xdr:row>
      <xdr:rowOff>120226</xdr:rowOff>
    </xdr:from>
    <xdr:to>
      <xdr:col>2</xdr:col>
      <xdr:colOff>899431</xdr:colOff>
      <xdr:row>108</xdr:row>
      <xdr:rowOff>1662472</xdr:rowOff>
    </xdr:to>
    <xdr:pic>
      <xdr:nvPicPr>
        <xdr:cNvPr id="69" name="Imagen 68">
          <a:extLst>
            <a:ext uri="{FF2B5EF4-FFF2-40B4-BE49-F238E27FC236}">
              <a16:creationId xmlns:a16="http://schemas.microsoft.com/office/drawing/2014/main" id="{A66CA999-B4A5-4CB5-B23E-2702D16844CE}"/>
            </a:ext>
          </a:extLst>
        </xdr:cNvPr>
        <xdr:cNvPicPr>
          <a:picLocks noChangeAspect="1"/>
        </xdr:cNvPicPr>
      </xdr:nvPicPr>
      <xdr:blipFill>
        <a:blip xmlns:r="http://schemas.openxmlformats.org/officeDocument/2006/relationships" r:embed="rId53"/>
        <a:stretch>
          <a:fillRect/>
        </a:stretch>
      </xdr:blipFill>
      <xdr:spPr>
        <a:xfrm>
          <a:off x="959303" y="67490551"/>
          <a:ext cx="664028" cy="1542246"/>
        </a:xfrm>
        <a:prstGeom prst="rect">
          <a:avLst/>
        </a:prstGeom>
      </xdr:spPr>
    </xdr:pic>
    <xdr:clientData/>
  </xdr:twoCellAnchor>
  <xdr:twoCellAnchor>
    <xdr:from>
      <xdr:col>2</xdr:col>
      <xdr:colOff>206829</xdr:colOff>
      <xdr:row>111</xdr:row>
      <xdr:rowOff>119742</xdr:rowOff>
    </xdr:from>
    <xdr:to>
      <xdr:col>2</xdr:col>
      <xdr:colOff>932321</xdr:colOff>
      <xdr:row>111</xdr:row>
      <xdr:rowOff>1801265</xdr:rowOff>
    </xdr:to>
    <xdr:pic>
      <xdr:nvPicPr>
        <xdr:cNvPr id="70" name="Imagen 69">
          <a:extLst>
            <a:ext uri="{FF2B5EF4-FFF2-40B4-BE49-F238E27FC236}">
              <a16:creationId xmlns:a16="http://schemas.microsoft.com/office/drawing/2014/main" id="{DB2A6309-242C-494B-8D1E-B0049F126C80}"/>
            </a:ext>
          </a:extLst>
        </xdr:cNvPr>
        <xdr:cNvPicPr>
          <a:picLocks noChangeAspect="1"/>
        </xdr:cNvPicPr>
      </xdr:nvPicPr>
      <xdr:blipFill>
        <a:blip xmlns:r="http://schemas.openxmlformats.org/officeDocument/2006/relationships" r:embed="rId53"/>
        <a:stretch>
          <a:fillRect/>
        </a:stretch>
      </xdr:blipFill>
      <xdr:spPr>
        <a:xfrm>
          <a:off x="930729" y="72890742"/>
          <a:ext cx="725492" cy="1681523"/>
        </a:xfrm>
        <a:prstGeom prst="rect">
          <a:avLst/>
        </a:prstGeom>
      </xdr:spPr>
    </xdr:pic>
    <xdr:clientData/>
  </xdr:twoCellAnchor>
  <xdr:twoCellAnchor>
    <xdr:from>
      <xdr:col>2</xdr:col>
      <xdr:colOff>85725</xdr:colOff>
      <xdr:row>161</xdr:row>
      <xdr:rowOff>60246</xdr:rowOff>
    </xdr:from>
    <xdr:to>
      <xdr:col>2</xdr:col>
      <xdr:colOff>1028699</xdr:colOff>
      <xdr:row>161</xdr:row>
      <xdr:rowOff>1714500</xdr:rowOff>
    </xdr:to>
    <xdr:pic>
      <xdr:nvPicPr>
        <xdr:cNvPr id="71" name="Imagen 70">
          <a:extLst>
            <a:ext uri="{FF2B5EF4-FFF2-40B4-BE49-F238E27FC236}">
              <a16:creationId xmlns:a16="http://schemas.microsoft.com/office/drawing/2014/main" id="{B6060F71-4C96-4789-930A-18F516110FA4}"/>
            </a:ext>
          </a:extLst>
        </xdr:cNvPr>
        <xdr:cNvPicPr>
          <a:picLocks noChangeAspect="1"/>
        </xdr:cNvPicPr>
      </xdr:nvPicPr>
      <xdr:blipFill>
        <a:blip xmlns:r="http://schemas.openxmlformats.org/officeDocument/2006/relationships" r:embed="rId56"/>
        <a:stretch>
          <a:fillRect/>
        </a:stretch>
      </xdr:blipFill>
      <xdr:spPr>
        <a:xfrm flipH="1">
          <a:off x="809625" y="107730846"/>
          <a:ext cx="942974" cy="1654254"/>
        </a:xfrm>
        <a:prstGeom prst="rect">
          <a:avLst/>
        </a:prstGeom>
      </xdr:spPr>
    </xdr:pic>
    <xdr:clientData/>
  </xdr:twoCellAnchor>
  <xdr:twoCellAnchor>
    <xdr:from>
      <xdr:col>2</xdr:col>
      <xdr:colOff>85725</xdr:colOff>
      <xdr:row>163</xdr:row>
      <xdr:rowOff>50142</xdr:rowOff>
    </xdr:from>
    <xdr:to>
      <xdr:col>2</xdr:col>
      <xdr:colOff>971550</xdr:colOff>
      <xdr:row>163</xdr:row>
      <xdr:rowOff>1638300</xdr:rowOff>
    </xdr:to>
    <xdr:pic>
      <xdr:nvPicPr>
        <xdr:cNvPr id="72" name="Imagen 71">
          <a:extLst>
            <a:ext uri="{FF2B5EF4-FFF2-40B4-BE49-F238E27FC236}">
              <a16:creationId xmlns:a16="http://schemas.microsoft.com/office/drawing/2014/main" id="{DE15FEF6-32FA-448F-8439-326E38F33DF8}"/>
            </a:ext>
          </a:extLst>
        </xdr:cNvPr>
        <xdr:cNvPicPr>
          <a:picLocks noChangeAspect="1"/>
        </xdr:cNvPicPr>
      </xdr:nvPicPr>
      <xdr:blipFill rotWithShape="1">
        <a:blip xmlns:r="http://schemas.openxmlformats.org/officeDocument/2006/relationships" r:embed="rId57"/>
        <a:srcRect l="8617" r="11191"/>
        <a:stretch/>
      </xdr:blipFill>
      <xdr:spPr>
        <a:xfrm>
          <a:off x="809625" y="111254517"/>
          <a:ext cx="885825" cy="1588158"/>
        </a:xfrm>
        <a:prstGeom prst="rect">
          <a:avLst/>
        </a:prstGeom>
      </xdr:spPr>
    </xdr:pic>
    <xdr:clientData/>
  </xdr:twoCellAnchor>
  <xdr:twoCellAnchor>
    <xdr:from>
      <xdr:col>2</xdr:col>
      <xdr:colOff>100726</xdr:colOff>
      <xdr:row>160</xdr:row>
      <xdr:rowOff>19051</xdr:rowOff>
    </xdr:from>
    <xdr:to>
      <xdr:col>2</xdr:col>
      <xdr:colOff>1019176</xdr:colOff>
      <xdr:row>160</xdr:row>
      <xdr:rowOff>2038350</xdr:rowOff>
    </xdr:to>
    <xdr:pic>
      <xdr:nvPicPr>
        <xdr:cNvPr id="73" name="Imagen 72">
          <a:extLst>
            <a:ext uri="{FF2B5EF4-FFF2-40B4-BE49-F238E27FC236}">
              <a16:creationId xmlns:a16="http://schemas.microsoft.com/office/drawing/2014/main" id="{5E0A0181-4206-48BB-B312-732CF4FA1942}"/>
            </a:ext>
          </a:extLst>
        </xdr:cNvPr>
        <xdr:cNvPicPr>
          <a:picLocks noChangeAspect="1"/>
        </xdr:cNvPicPr>
      </xdr:nvPicPr>
      <xdr:blipFill>
        <a:blip xmlns:r="http://schemas.openxmlformats.org/officeDocument/2006/relationships" r:embed="rId58"/>
        <a:stretch>
          <a:fillRect/>
        </a:stretch>
      </xdr:blipFill>
      <xdr:spPr>
        <a:xfrm>
          <a:off x="824626" y="105584626"/>
          <a:ext cx="918450" cy="2019299"/>
        </a:xfrm>
        <a:prstGeom prst="rect">
          <a:avLst/>
        </a:prstGeom>
      </xdr:spPr>
    </xdr:pic>
    <xdr:clientData/>
  </xdr:twoCellAnchor>
  <xdr:twoCellAnchor>
    <xdr:from>
      <xdr:col>2</xdr:col>
      <xdr:colOff>76199</xdr:colOff>
      <xdr:row>162</xdr:row>
      <xdr:rowOff>76199</xdr:rowOff>
    </xdr:from>
    <xdr:to>
      <xdr:col>2</xdr:col>
      <xdr:colOff>1019174</xdr:colOff>
      <xdr:row>162</xdr:row>
      <xdr:rowOff>1714500</xdr:rowOff>
    </xdr:to>
    <xdr:pic>
      <xdr:nvPicPr>
        <xdr:cNvPr id="74" name="Imagen 73">
          <a:extLst>
            <a:ext uri="{FF2B5EF4-FFF2-40B4-BE49-F238E27FC236}">
              <a16:creationId xmlns:a16="http://schemas.microsoft.com/office/drawing/2014/main" id="{0B98E3CE-522F-477D-84BE-734B1E90B426}"/>
            </a:ext>
          </a:extLst>
        </xdr:cNvPr>
        <xdr:cNvPicPr>
          <a:picLocks noChangeAspect="1"/>
        </xdr:cNvPicPr>
      </xdr:nvPicPr>
      <xdr:blipFill>
        <a:blip xmlns:r="http://schemas.openxmlformats.org/officeDocument/2006/relationships" r:embed="rId59"/>
        <a:stretch>
          <a:fillRect/>
        </a:stretch>
      </xdr:blipFill>
      <xdr:spPr>
        <a:xfrm flipH="1">
          <a:off x="800099" y="109508924"/>
          <a:ext cx="942975" cy="1638301"/>
        </a:xfrm>
        <a:prstGeom prst="rect">
          <a:avLst/>
        </a:prstGeom>
      </xdr:spPr>
    </xdr:pic>
    <xdr:clientData/>
  </xdr:twoCellAnchor>
  <xdr:twoCellAnchor>
    <xdr:from>
      <xdr:col>2</xdr:col>
      <xdr:colOff>152400</xdr:colOff>
      <xdr:row>95</xdr:row>
      <xdr:rowOff>95249</xdr:rowOff>
    </xdr:from>
    <xdr:to>
      <xdr:col>2</xdr:col>
      <xdr:colOff>911472</xdr:colOff>
      <xdr:row>95</xdr:row>
      <xdr:rowOff>1133474</xdr:rowOff>
    </xdr:to>
    <xdr:pic>
      <xdr:nvPicPr>
        <xdr:cNvPr id="75" name="Imagen 74">
          <a:extLst>
            <a:ext uri="{FF2B5EF4-FFF2-40B4-BE49-F238E27FC236}">
              <a16:creationId xmlns:a16="http://schemas.microsoft.com/office/drawing/2014/main" id="{076B51E4-F7C1-419E-ACA5-AE937C6367D0}"/>
            </a:ext>
          </a:extLst>
        </xdr:cNvPr>
        <xdr:cNvPicPr>
          <a:picLocks noChangeAspect="1"/>
        </xdr:cNvPicPr>
      </xdr:nvPicPr>
      <xdr:blipFill>
        <a:blip xmlns:r="http://schemas.openxmlformats.org/officeDocument/2006/relationships" r:embed="rId7"/>
        <a:stretch>
          <a:fillRect/>
        </a:stretch>
      </xdr:blipFill>
      <xdr:spPr>
        <a:xfrm>
          <a:off x="876300" y="57054749"/>
          <a:ext cx="759072" cy="1038225"/>
        </a:xfrm>
        <a:prstGeom prst="rect">
          <a:avLst/>
        </a:prstGeom>
      </xdr:spPr>
    </xdr:pic>
    <xdr:clientData/>
  </xdr:twoCellAnchor>
  <xdr:twoCellAnchor>
    <xdr:from>
      <xdr:col>2</xdr:col>
      <xdr:colOff>152400</xdr:colOff>
      <xdr:row>96</xdr:row>
      <xdr:rowOff>47624</xdr:rowOff>
    </xdr:from>
    <xdr:to>
      <xdr:col>2</xdr:col>
      <xdr:colOff>911472</xdr:colOff>
      <xdr:row>96</xdr:row>
      <xdr:rowOff>1085849</xdr:rowOff>
    </xdr:to>
    <xdr:pic>
      <xdr:nvPicPr>
        <xdr:cNvPr id="76" name="Imagen 75">
          <a:extLst>
            <a:ext uri="{FF2B5EF4-FFF2-40B4-BE49-F238E27FC236}">
              <a16:creationId xmlns:a16="http://schemas.microsoft.com/office/drawing/2014/main" id="{450EA353-F978-4227-9923-72DBA1895B51}"/>
            </a:ext>
          </a:extLst>
        </xdr:cNvPr>
        <xdr:cNvPicPr>
          <a:picLocks noChangeAspect="1"/>
        </xdr:cNvPicPr>
      </xdr:nvPicPr>
      <xdr:blipFill>
        <a:blip xmlns:r="http://schemas.openxmlformats.org/officeDocument/2006/relationships" r:embed="rId7"/>
        <a:stretch>
          <a:fillRect/>
        </a:stretch>
      </xdr:blipFill>
      <xdr:spPr>
        <a:xfrm>
          <a:off x="876300" y="58207274"/>
          <a:ext cx="759072" cy="1038225"/>
        </a:xfrm>
        <a:prstGeom prst="rect">
          <a:avLst/>
        </a:prstGeom>
      </xdr:spPr>
    </xdr:pic>
    <xdr:clientData/>
  </xdr:twoCellAnchor>
  <xdr:twoCellAnchor>
    <xdr:from>
      <xdr:col>2</xdr:col>
      <xdr:colOff>133350</xdr:colOff>
      <xdr:row>97</xdr:row>
      <xdr:rowOff>66674</xdr:rowOff>
    </xdr:from>
    <xdr:to>
      <xdr:col>2</xdr:col>
      <xdr:colOff>892422</xdr:colOff>
      <xdr:row>97</xdr:row>
      <xdr:rowOff>1104899</xdr:rowOff>
    </xdr:to>
    <xdr:pic>
      <xdr:nvPicPr>
        <xdr:cNvPr id="77" name="Imagen 76">
          <a:extLst>
            <a:ext uri="{FF2B5EF4-FFF2-40B4-BE49-F238E27FC236}">
              <a16:creationId xmlns:a16="http://schemas.microsoft.com/office/drawing/2014/main" id="{D7F141ED-8ECC-490C-96FE-62A4E136B3B3}"/>
            </a:ext>
          </a:extLst>
        </xdr:cNvPr>
        <xdr:cNvPicPr>
          <a:picLocks noChangeAspect="1"/>
        </xdr:cNvPicPr>
      </xdr:nvPicPr>
      <xdr:blipFill>
        <a:blip xmlns:r="http://schemas.openxmlformats.org/officeDocument/2006/relationships" r:embed="rId7"/>
        <a:stretch>
          <a:fillRect/>
        </a:stretch>
      </xdr:blipFill>
      <xdr:spPr>
        <a:xfrm>
          <a:off x="857250" y="59369324"/>
          <a:ext cx="759072" cy="1038225"/>
        </a:xfrm>
        <a:prstGeom prst="rect">
          <a:avLst/>
        </a:prstGeom>
      </xdr:spPr>
    </xdr:pic>
    <xdr:clientData/>
  </xdr:twoCellAnchor>
  <xdr:twoCellAnchor>
    <xdr:from>
      <xdr:col>2</xdr:col>
      <xdr:colOff>114300</xdr:colOff>
      <xdr:row>98</xdr:row>
      <xdr:rowOff>47624</xdr:rowOff>
    </xdr:from>
    <xdr:to>
      <xdr:col>2</xdr:col>
      <xdr:colOff>873372</xdr:colOff>
      <xdr:row>98</xdr:row>
      <xdr:rowOff>1085849</xdr:rowOff>
    </xdr:to>
    <xdr:pic>
      <xdr:nvPicPr>
        <xdr:cNvPr id="78" name="Imagen 77">
          <a:extLst>
            <a:ext uri="{FF2B5EF4-FFF2-40B4-BE49-F238E27FC236}">
              <a16:creationId xmlns:a16="http://schemas.microsoft.com/office/drawing/2014/main" id="{3E553097-0AC8-411A-8C9E-BB3DE532E06B}"/>
            </a:ext>
          </a:extLst>
        </xdr:cNvPr>
        <xdr:cNvPicPr>
          <a:picLocks noChangeAspect="1"/>
        </xdr:cNvPicPr>
      </xdr:nvPicPr>
      <xdr:blipFill>
        <a:blip xmlns:r="http://schemas.openxmlformats.org/officeDocument/2006/relationships" r:embed="rId7"/>
        <a:stretch>
          <a:fillRect/>
        </a:stretch>
      </xdr:blipFill>
      <xdr:spPr>
        <a:xfrm>
          <a:off x="838200" y="60521849"/>
          <a:ext cx="759072" cy="1038225"/>
        </a:xfrm>
        <a:prstGeom prst="rect">
          <a:avLst/>
        </a:prstGeom>
      </xdr:spPr>
    </xdr:pic>
    <xdr:clientData/>
  </xdr:twoCellAnchor>
  <xdr:twoCellAnchor>
    <xdr:from>
      <xdr:col>2</xdr:col>
      <xdr:colOff>161925</xdr:colOff>
      <xdr:row>7</xdr:row>
      <xdr:rowOff>66675</xdr:rowOff>
    </xdr:from>
    <xdr:to>
      <xdr:col>2</xdr:col>
      <xdr:colOff>892358</xdr:colOff>
      <xdr:row>7</xdr:row>
      <xdr:rowOff>1090424</xdr:rowOff>
    </xdr:to>
    <xdr:pic>
      <xdr:nvPicPr>
        <xdr:cNvPr id="79" name="Imagen 78">
          <a:extLst>
            <a:ext uri="{FF2B5EF4-FFF2-40B4-BE49-F238E27FC236}">
              <a16:creationId xmlns:a16="http://schemas.microsoft.com/office/drawing/2014/main" id="{D5EB5E59-D870-40A3-8D49-F9FBE00DFEDB}"/>
            </a:ext>
          </a:extLst>
        </xdr:cNvPr>
        <xdr:cNvPicPr>
          <a:picLocks noChangeAspect="1"/>
        </xdr:cNvPicPr>
      </xdr:nvPicPr>
      <xdr:blipFill>
        <a:blip xmlns:r="http://schemas.openxmlformats.org/officeDocument/2006/relationships" r:embed="rId60"/>
        <a:stretch>
          <a:fillRect/>
        </a:stretch>
      </xdr:blipFill>
      <xdr:spPr>
        <a:xfrm>
          <a:off x="885825" y="2486025"/>
          <a:ext cx="730433" cy="1023749"/>
        </a:xfrm>
        <a:prstGeom prst="rect">
          <a:avLst/>
        </a:prstGeom>
      </xdr:spPr>
    </xdr:pic>
    <xdr:clientData/>
  </xdr:twoCellAnchor>
  <xdr:twoCellAnchor>
    <xdr:from>
      <xdr:col>2</xdr:col>
      <xdr:colOff>179295</xdr:colOff>
      <xdr:row>147</xdr:row>
      <xdr:rowOff>67235</xdr:rowOff>
    </xdr:from>
    <xdr:to>
      <xdr:col>2</xdr:col>
      <xdr:colOff>1019587</xdr:colOff>
      <xdr:row>147</xdr:row>
      <xdr:rowOff>1277471</xdr:rowOff>
    </xdr:to>
    <xdr:pic>
      <xdr:nvPicPr>
        <xdr:cNvPr id="80" name="Imagen 23">
          <a:extLst>
            <a:ext uri="{FF2B5EF4-FFF2-40B4-BE49-F238E27FC236}">
              <a16:creationId xmlns:a16="http://schemas.microsoft.com/office/drawing/2014/main" id="{63E33BC3-6B94-45D2-B3F4-ECB36DD1DDE8}"/>
            </a:ext>
          </a:extLst>
        </xdr:cNvPr>
        <xdr:cNvPicPr>
          <a:picLocks noChangeAspect="1"/>
        </xdr:cNvPicPr>
      </xdr:nvPicPr>
      <xdr:blipFill>
        <a:blip xmlns:r="http://schemas.openxmlformats.org/officeDocument/2006/relationships" r:embed="rId61">
          <a:extLst>
            <a:ext uri="{BEBA8EAE-BF5A-486C-A8C5-ECC9F3942E4B}">
              <a14:imgProps xmlns:a14="http://schemas.microsoft.com/office/drawing/2010/main">
                <a14:imgLayer r:embed="rId62">
                  <a14:imgEffect>
                    <a14:brightnessContrast bright="21000" contrast="-10000"/>
                  </a14:imgEffect>
                </a14:imgLayer>
              </a14:imgProps>
            </a:ext>
          </a:extLst>
        </a:blip>
        <a:stretch>
          <a:fillRect/>
        </a:stretch>
      </xdr:blipFill>
      <xdr:spPr>
        <a:xfrm>
          <a:off x="903195" y="98327135"/>
          <a:ext cx="840292" cy="1210236"/>
        </a:xfrm>
        <a:prstGeom prst="rect">
          <a:avLst/>
        </a:prstGeom>
      </xdr:spPr>
    </xdr:pic>
    <xdr:clientData/>
  </xdr:twoCellAnchor>
  <xdr:twoCellAnchor>
    <xdr:from>
      <xdr:col>2</xdr:col>
      <xdr:colOff>179294</xdr:colOff>
      <xdr:row>148</xdr:row>
      <xdr:rowOff>56029</xdr:rowOff>
    </xdr:from>
    <xdr:to>
      <xdr:col>2</xdr:col>
      <xdr:colOff>1019586</xdr:colOff>
      <xdr:row>148</xdr:row>
      <xdr:rowOff>1266265</xdr:rowOff>
    </xdr:to>
    <xdr:pic>
      <xdr:nvPicPr>
        <xdr:cNvPr id="81" name="Imagen 23">
          <a:extLst>
            <a:ext uri="{FF2B5EF4-FFF2-40B4-BE49-F238E27FC236}">
              <a16:creationId xmlns:a16="http://schemas.microsoft.com/office/drawing/2014/main" id="{E7E38A37-61F2-4849-9E58-5A5845B79777}"/>
            </a:ext>
          </a:extLst>
        </xdr:cNvPr>
        <xdr:cNvPicPr>
          <a:picLocks noChangeAspect="1"/>
        </xdr:cNvPicPr>
      </xdr:nvPicPr>
      <xdr:blipFill>
        <a:blip xmlns:r="http://schemas.openxmlformats.org/officeDocument/2006/relationships" r:embed="rId61">
          <a:extLst>
            <a:ext uri="{BEBA8EAE-BF5A-486C-A8C5-ECC9F3942E4B}">
              <a14:imgProps xmlns:a14="http://schemas.microsoft.com/office/drawing/2010/main">
                <a14:imgLayer r:embed="rId62">
                  <a14:imgEffect>
                    <a14:brightnessContrast bright="21000" contrast="-10000"/>
                  </a14:imgEffect>
                </a14:imgLayer>
              </a14:imgProps>
            </a:ext>
          </a:extLst>
        </a:blip>
        <a:stretch>
          <a:fillRect/>
        </a:stretch>
      </xdr:blipFill>
      <xdr:spPr>
        <a:xfrm>
          <a:off x="903194" y="99658954"/>
          <a:ext cx="840292" cy="1210236"/>
        </a:xfrm>
        <a:prstGeom prst="rect">
          <a:avLst/>
        </a:prstGeom>
      </xdr:spPr>
    </xdr:pic>
    <xdr:clientData/>
  </xdr:twoCellAnchor>
  <xdr:twoCellAnchor>
    <xdr:from>
      <xdr:col>2</xdr:col>
      <xdr:colOff>179295</xdr:colOff>
      <xdr:row>149</xdr:row>
      <xdr:rowOff>56030</xdr:rowOff>
    </xdr:from>
    <xdr:to>
      <xdr:col>2</xdr:col>
      <xdr:colOff>1019587</xdr:colOff>
      <xdr:row>149</xdr:row>
      <xdr:rowOff>1266266</xdr:rowOff>
    </xdr:to>
    <xdr:pic>
      <xdr:nvPicPr>
        <xdr:cNvPr id="82" name="Imagen 23">
          <a:extLst>
            <a:ext uri="{FF2B5EF4-FFF2-40B4-BE49-F238E27FC236}">
              <a16:creationId xmlns:a16="http://schemas.microsoft.com/office/drawing/2014/main" id="{ECAFBCB9-B7E5-4B26-A1D8-E15DDA06619C}"/>
            </a:ext>
          </a:extLst>
        </xdr:cNvPr>
        <xdr:cNvPicPr>
          <a:picLocks noChangeAspect="1"/>
        </xdr:cNvPicPr>
      </xdr:nvPicPr>
      <xdr:blipFill>
        <a:blip xmlns:r="http://schemas.openxmlformats.org/officeDocument/2006/relationships" r:embed="rId61">
          <a:extLst>
            <a:ext uri="{BEBA8EAE-BF5A-486C-A8C5-ECC9F3942E4B}">
              <a14:imgProps xmlns:a14="http://schemas.microsoft.com/office/drawing/2010/main">
                <a14:imgLayer r:embed="rId62">
                  <a14:imgEffect>
                    <a14:brightnessContrast bright="21000" contrast="-10000"/>
                  </a14:imgEffect>
                </a14:imgLayer>
              </a14:imgProps>
            </a:ext>
          </a:extLst>
        </a:blip>
        <a:stretch>
          <a:fillRect/>
        </a:stretch>
      </xdr:blipFill>
      <xdr:spPr>
        <a:xfrm>
          <a:off x="903195" y="101001980"/>
          <a:ext cx="840292" cy="1210236"/>
        </a:xfrm>
        <a:prstGeom prst="rect">
          <a:avLst/>
        </a:prstGeom>
      </xdr:spPr>
    </xdr:pic>
    <xdr:clientData/>
  </xdr:twoCellAnchor>
  <xdr:twoCellAnchor>
    <xdr:from>
      <xdr:col>2</xdr:col>
      <xdr:colOff>179294</xdr:colOff>
      <xdr:row>150</xdr:row>
      <xdr:rowOff>67236</xdr:rowOff>
    </xdr:from>
    <xdr:to>
      <xdr:col>2</xdr:col>
      <xdr:colOff>1019586</xdr:colOff>
      <xdr:row>150</xdr:row>
      <xdr:rowOff>1277472</xdr:rowOff>
    </xdr:to>
    <xdr:pic>
      <xdr:nvPicPr>
        <xdr:cNvPr id="83" name="Imagen 23">
          <a:extLst>
            <a:ext uri="{FF2B5EF4-FFF2-40B4-BE49-F238E27FC236}">
              <a16:creationId xmlns:a16="http://schemas.microsoft.com/office/drawing/2014/main" id="{60CAFE60-B361-4FB3-AE77-926C5CF652D7}"/>
            </a:ext>
          </a:extLst>
        </xdr:cNvPr>
        <xdr:cNvPicPr>
          <a:picLocks noChangeAspect="1"/>
        </xdr:cNvPicPr>
      </xdr:nvPicPr>
      <xdr:blipFill>
        <a:blip xmlns:r="http://schemas.openxmlformats.org/officeDocument/2006/relationships" r:embed="rId61">
          <a:extLst>
            <a:ext uri="{BEBA8EAE-BF5A-486C-A8C5-ECC9F3942E4B}">
              <a14:imgProps xmlns:a14="http://schemas.microsoft.com/office/drawing/2010/main">
                <a14:imgLayer r:embed="rId62">
                  <a14:imgEffect>
                    <a14:brightnessContrast bright="21000" contrast="-10000"/>
                  </a14:imgEffect>
                </a14:imgLayer>
              </a14:imgProps>
            </a:ext>
          </a:extLst>
        </a:blip>
        <a:stretch>
          <a:fillRect/>
        </a:stretch>
      </xdr:blipFill>
      <xdr:spPr>
        <a:xfrm>
          <a:off x="903194" y="102356211"/>
          <a:ext cx="840292" cy="1210236"/>
        </a:xfrm>
        <a:prstGeom prst="rect">
          <a:avLst/>
        </a:prstGeom>
      </xdr:spPr>
    </xdr:pic>
    <xdr:clientData/>
  </xdr:twoCellAnchor>
  <xdr:twoCellAnchor>
    <xdr:from>
      <xdr:col>2</xdr:col>
      <xdr:colOff>179294</xdr:colOff>
      <xdr:row>171</xdr:row>
      <xdr:rowOff>67236</xdr:rowOff>
    </xdr:from>
    <xdr:to>
      <xdr:col>2</xdr:col>
      <xdr:colOff>941295</xdr:colOff>
      <xdr:row>171</xdr:row>
      <xdr:rowOff>1105092</xdr:rowOff>
    </xdr:to>
    <xdr:pic>
      <xdr:nvPicPr>
        <xdr:cNvPr id="84" name="Imagen 83">
          <a:extLst>
            <a:ext uri="{FF2B5EF4-FFF2-40B4-BE49-F238E27FC236}">
              <a16:creationId xmlns:a16="http://schemas.microsoft.com/office/drawing/2014/main" id="{99899B77-4690-4455-8628-B1F1D9A13475}"/>
            </a:ext>
          </a:extLst>
        </xdr:cNvPr>
        <xdr:cNvPicPr>
          <a:picLocks noChangeAspect="1"/>
        </xdr:cNvPicPr>
      </xdr:nvPicPr>
      <xdr:blipFill rotWithShape="1">
        <a:blip xmlns:r="http://schemas.openxmlformats.org/officeDocument/2006/relationships" r:embed="rId63"/>
        <a:srcRect l="3950" r="12771"/>
        <a:stretch/>
      </xdr:blipFill>
      <xdr:spPr>
        <a:xfrm>
          <a:off x="903194" y="114443436"/>
          <a:ext cx="762001" cy="1037856"/>
        </a:xfrm>
        <a:prstGeom prst="rect">
          <a:avLst/>
        </a:prstGeom>
      </xdr:spPr>
    </xdr:pic>
    <xdr:clientData/>
  </xdr:twoCellAnchor>
  <xdr:twoCellAnchor>
    <xdr:from>
      <xdr:col>2</xdr:col>
      <xdr:colOff>152400</xdr:colOff>
      <xdr:row>173</xdr:row>
      <xdr:rowOff>85166</xdr:rowOff>
    </xdr:from>
    <xdr:to>
      <xdr:col>2</xdr:col>
      <xdr:colOff>914401</xdr:colOff>
      <xdr:row>173</xdr:row>
      <xdr:rowOff>1123022</xdr:rowOff>
    </xdr:to>
    <xdr:pic>
      <xdr:nvPicPr>
        <xdr:cNvPr id="85" name="Imagen 84">
          <a:extLst>
            <a:ext uri="{FF2B5EF4-FFF2-40B4-BE49-F238E27FC236}">
              <a16:creationId xmlns:a16="http://schemas.microsoft.com/office/drawing/2014/main" id="{8A78BBE2-BF7E-4B7A-8CB3-F1F78646BAF8}"/>
            </a:ext>
          </a:extLst>
        </xdr:cNvPr>
        <xdr:cNvPicPr>
          <a:picLocks noChangeAspect="1"/>
        </xdr:cNvPicPr>
      </xdr:nvPicPr>
      <xdr:blipFill rotWithShape="1">
        <a:blip xmlns:r="http://schemas.openxmlformats.org/officeDocument/2006/relationships" r:embed="rId63"/>
        <a:srcRect l="3950" r="12771"/>
        <a:stretch/>
      </xdr:blipFill>
      <xdr:spPr>
        <a:xfrm>
          <a:off x="876300" y="116804516"/>
          <a:ext cx="762001" cy="1037856"/>
        </a:xfrm>
        <a:prstGeom prst="rect">
          <a:avLst/>
        </a:prstGeom>
      </xdr:spPr>
    </xdr:pic>
    <xdr:clientData/>
  </xdr:twoCellAnchor>
  <xdr:twoCellAnchor>
    <xdr:from>
      <xdr:col>2</xdr:col>
      <xdr:colOff>112059</xdr:colOff>
      <xdr:row>189</xdr:row>
      <xdr:rowOff>78442</xdr:rowOff>
    </xdr:from>
    <xdr:to>
      <xdr:col>2</xdr:col>
      <xdr:colOff>967207</xdr:colOff>
      <xdr:row>189</xdr:row>
      <xdr:rowOff>1119789</xdr:rowOff>
    </xdr:to>
    <xdr:pic>
      <xdr:nvPicPr>
        <xdr:cNvPr id="86" name="Imagen 85">
          <a:extLst>
            <a:ext uri="{FF2B5EF4-FFF2-40B4-BE49-F238E27FC236}">
              <a16:creationId xmlns:a16="http://schemas.microsoft.com/office/drawing/2014/main" id="{172B46B5-E14B-4411-9FE9-3F2CBFB1A9B1}"/>
            </a:ext>
          </a:extLst>
        </xdr:cNvPr>
        <xdr:cNvPicPr>
          <a:picLocks noChangeAspect="1"/>
        </xdr:cNvPicPr>
      </xdr:nvPicPr>
      <xdr:blipFill>
        <a:blip xmlns:r="http://schemas.openxmlformats.org/officeDocument/2006/relationships" r:embed="rId10"/>
        <a:stretch>
          <a:fillRect/>
        </a:stretch>
      </xdr:blipFill>
      <xdr:spPr>
        <a:xfrm>
          <a:off x="835959" y="125856067"/>
          <a:ext cx="855148" cy="1041347"/>
        </a:xfrm>
        <a:prstGeom prst="rect">
          <a:avLst/>
        </a:prstGeom>
      </xdr:spPr>
    </xdr:pic>
    <xdr:clientData/>
  </xdr:twoCellAnchor>
  <xdr:twoCellAnchor>
    <xdr:from>
      <xdr:col>2</xdr:col>
      <xdr:colOff>302559</xdr:colOff>
      <xdr:row>29</xdr:row>
      <xdr:rowOff>89646</xdr:rowOff>
    </xdr:from>
    <xdr:to>
      <xdr:col>2</xdr:col>
      <xdr:colOff>862853</xdr:colOff>
      <xdr:row>29</xdr:row>
      <xdr:rowOff>968448</xdr:rowOff>
    </xdr:to>
    <xdr:pic>
      <xdr:nvPicPr>
        <xdr:cNvPr id="87" name="Imagen 86">
          <a:extLst>
            <a:ext uri="{FF2B5EF4-FFF2-40B4-BE49-F238E27FC236}">
              <a16:creationId xmlns:a16="http://schemas.microsoft.com/office/drawing/2014/main" id="{2AB4AFA3-5598-49C0-BF52-B9E9B301F746}"/>
            </a:ext>
          </a:extLst>
        </xdr:cNvPr>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1026459" y="20139771"/>
          <a:ext cx="560294" cy="8788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228248</xdr:colOff>
      <xdr:row>114</xdr:row>
      <xdr:rowOff>257734</xdr:rowOff>
    </xdr:from>
    <xdr:to>
      <xdr:col>2</xdr:col>
      <xdr:colOff>862852</xdr:colOff>
      <xdr:row>114</xdr:row>
      <xdr:rowOff>1181067</xdr:rowOff>
    </xdr:to>
    <xdr:pic>
      <xdr:nvPicPr>
        <xdr:cNvPr id="88" name="Imagen 87">
          <a:extLst>
            <a:ext uri="{FF2B5EF4-FFF2-40B4-BE49-F238E27FC236}">
              <a16:creationId xmlns:a16="http://schemas.microsoft.com/office/drawing/2014/main" id="{80B0F83E-8DC6-4AA6-826C-4121A85E3854}"/>
            </a:ext>
          </a:extLst>
        </xdr:cNvPr>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val="0"/>
            </a:ext>
          </a:extLst>
        </a:blip>
        <a:srcRect/>
        <a:stretch>
          <a:fillRect/>
        </a:stretch>
      </xdr:blipFill>
      <xdr:spPr bwMode="auto">
        <a:xfrm>
          <a:off x="952148" y="75248059"/>
          <a:ext cx="634604" cy="9233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212913</xdr:colOff>
      <xdr:row>116</xdr:row>
      <xdr:rowOff>123265</xdr:rowOff>
    </xdr:from>
    <xdr:to>
      <xdr:col>2</xdr:col>
      <xdr:colOff>896471</xdr:colOff>
      <xdr:row>116</xdr:row>
      <xdr:rowOff>1116779</xdr:rowOff>
    </xdr:to>
    <xdr:pic>
      <xdr:nvPicPr>
        <xdr:cNvPr id="89" name="Imagen 88">
          <a:extLst>
            <a:ext uri="{FF2B5EF4-FFF2-40B4-BE49-F238E27FC236}">
              <a16:creationId xmlns:a16="http://schemas.microsoft.com/office/drawing/2014/main" id="{1E717F84-5CFD-4BFA-ADCA-3CBA21D790A1}"/>
            </a:ext>
          </a:extLst>
        </xdr:cNvPr>
        <xdr:cNvPicPr>
          <a:picLocks noChangeAspect="1" noChangeArrowheads="1"/>
        </xdr:cNvPicPr>
      </xdr:nvPicPr>
      <xdr:blipFill>
        <a:blip xmlns:r="http://schemas.openxmlformats.org/officeDocument/2006/relationships" r:embed="rId66" cstate="print">
          <a:extLst>
            <a:ext uri="{28A0092B-C50C-407E-A947-70E740481C1C}">
              <a14:useLocalDpi xmlns:a14="http://schemas.microsoft.com/office/drawing/2010/main" val="0"/>
            </a:ext>
          </a:extLst>
        </a:blip>
        <a:srcRect/>
        <a:stretch>
          <a:fillRect/>
        </a:stretch>
      </xdr:blipFill>
      <xdr:spPr bwMode="auto">
        <a:xfrm>
          <a:off x="936813" y="77761540"/>
          <a:ext cx="683558" cy="9935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235323</xdr:colOff>
      <xdr:row>115</xdr:row>
      <xdr:rowOff>72540</xdr:rowOff>
    </xdr:from>
    <xdr:to>
      <xdr:col>2</xdr:col>
      <xdr:colOff>885264</xdr:colOff>
      <xdr:row>115</xdr:row>
      <xdr:rowOff>1092277</xdr:rowOff>
    </xdr:to>
    <xdr:pic>
      <xdr:nvPicPr>
        <xdr:cNvPr id="90" name="Imagen 89">
          <a:extLst>
            <a:ext uri="{FF2B5EF4-FFF2-40B4-BE49-F238E27FC236}">
              <a16:creationId xmlns:a16="http://schemas.microsoft.com/office/drawing/2014/main" id="{DF4C9696-A736-4918-954E-894CD4025C33}"/>
            </a:ext>
          </a:extLst>
        </xdr:cNvPr>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959223" y="76463040"/>
          <a:ext cx="649941" cy="10197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212912</xdr:colOff>
      <xdr:row>117</xdr:row>
      <xdr:rowOff>201706</xdr:rowOff>
    </xdr:from>
    <xdr:to>
      <xdr:col>2</xdr:col>
      <xdr:colOff>874059</xdr:colOff>
      <xdr:row>117</xdr:row>
      <xdr:rowOff>1221442</xdr:rowOff>
    </xdr:to>
    <xdr:pic>
      <xdr:nvPicPr>
        <xdr:cNvPr id="91" name="Imagen 90">
          <a:extLst>
            <a:ext uri="{FF2B5EF4-FFF2-40B4-BE49-F238E27FC236}">
              <a16:creationId xmlns:a16="http://schemas.microsoft.com/office/drawing/2014/main" id="{92441CFB-5916-4D8F-8286-7254D7A14364}"/>
            </a:ext>
          </a:extLst>
        </xdr:cNvPr>
        <xdr:cNvPicPr>
          <a:picLocks noChangeAspect="1" noChangeArrowheads="1"/>
        </xdr:cNvPicPr>
      </xdr:nvPicPr>
      <xdr:blipFill>
        <a:blip xmlns:r="http://schemas.openxmlformats.org/officeDocument/2006/relationships" r:embed="rId68" cstate="print">
          <a:extLst>
            <a:ext uri="{28A0092B-C50C-407E-A947-70E740481C1C}">
              <a14:useLocalDpi xmlns:a14="http://schemas.microsoft.com/office/drawing/2010/main" val="0"/>
            </a:ext>
          </a:extLst>
        </a:blip>
        <a:srcRect/>
        <a:stretch>
          <a:fillRect/>
        </a:stretch>
      </xdr:blipFill>
      <xdr:spPr bwMode="auto">
        <a:xfrm>
          <a:off x="936812" y="79068706"/>
          <a:ext cx="661147" cy="10197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145677</xdr:colOff>
      <xdr:row>9</xdr:row>
      <xdr:rowOff>100854</xdr:rowOff>
    </xdr:from>
    <xdr:to>
      <xdr:col>2</xdr:col>
      <xdr:colOff>951219</xdr:colOff>
      <xdr:row>9</xdr:row>
      <xdr:rowOff>1230246</xdr:rowOff>
    </xdr:to>
    <xdr:pic>
      <xdr:nvPicPr>
        <xdr:cNvPr id="92" name="Imagen 91">
          <a:extLst>
            <a:ext uri="{FF2B5EF4-FFF2-40B4-BE49-F238E27FC236}">
              <a16:creationId xmlns:a16="http://schemas.microsoft.com/office/drawing/2014/main" id="{5801856D-1F71-42A0-A15F-A29F1C1A4FA7}"/>
            </a:ext>
          </a:extLst>
        </xdr:cNvPr>
        <xdr:cNvPicPr>
          <a:picLocks noChangeAspect="1"/>
        </xdr:cNvPicPr>
      </xdr:nvPicPr>
      <xdr:blipFill>
        <a:blip xmlns:r="http://schemas.openxmlformats.org/officeDocument/2006/relationships" r:embed="rId69"/>
        <a:stretch>
          <a:fillRect/>
        </a:stretch>
      </xdr:blipFill>
      <xdr:spPr>
        <a:xfrm>
          <a:off x="869577" y="4977654"/>
          <a:ext cx="805542" cy="1129392"/>
        </a:xfrm>
        <a:prstGeom prst="rect">
          <a:avLst/>
        </a:prstGeom>
      </xdr:spPr>
    </xdr:pic>
    <xdr:clientData/>
  </xdr:twoCellAnchor>
  <xdr:twoCellAnchor>
    <xdr:from>
      <xdr:col>2</xdr:col>
      <xdr:colOff>134470</xdr:colOff>
      <xdr:row>10</xdr:row>
      <xdr:rowOff>100853</xdr:rowOff>
    </xdr:from>
    <xdr:to>
      <xdr:col>2</xdr:col>
      <xdr:colOff>956340</xdr:colOff>
      <xdr:row>10</xdr:row>
      <xdr:rowOff>1094173</xdr:rowOff>
    </xdr:to>
    <xdr:pic>
      <xdr:nvPicPr>
        <xdr:cNvPr id="93" name="Imagen 2">
          <a:extLst>
            <a:ext uri="{FF2B5EF4-FFF2-40B4-BE49-F238E27FC236}">
              <a16:creationId xmlns:a16="http://schemas.microsoft.com/office/drawing/2014/main" id="{85F5DB17-4219-4484-BD8A-6C3796FFBF35}"/>
            </a:ext>
          </a:extLst>
        </xdr:cNvPr>
        <xdr:cNvPicPr>
          <a:picLocks noChangeAspect="1" noChangeArrowheads="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r="17649"/>
        <a:stretch/>
      </xdr:blipFill>
      <xdr:spPr bwMode="auto">
        <a:xfrm>
          <a:off x="858370" y="6206378"/>
          <a:ext cx="821870" cy="993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202827</xdr:colOff>
      <xdr:row>22</xdr:row>
      <xdr:rowOff>78440</xdr:rowOff>
    </xdr:from>
    <xdr:to>
      <xdr:col>2</xdr:col>
      <xdr:colOff>918883</xdr:colOff>
      <xdr:row>22</xdr:row>
      <xdr:rowOff>862852</xdr:rowOff>
    </xdr:to>
    <xdr:pic>
      <xdr:nvPicPr>
        <xdr:cNvPr id="94" name="Imagen 93">
          <a:extLst>
            <a:ext uri="{FF2B5EF4-FFF2-40B4-BE49-F238E27FC236}">
              <a16:creationId xmlns:a16="http://schemas.microsoft.com/office/drawing/2014/main" id="{68281836-5796-406A-9DC6-C91311AC0B68}"/>
            </a:ext>
          </a:extLst>
        </xdr:cNvPr>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bwMode="auto">
        <a:xfrm>
          <a:off x="926727" y="14489765"/>
          <a:ext cx="716056" cy="7844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202827</xdr:colOff>
      <xdr:row>23</xdr:row>
      <xdr:rowOff>89646</xdr:rowOff>
    </xdr:from>
    <xdr:to>
      <xdr:col>2</xdr:col>
      <xdr:colOff>918883</xdr:colOff>
      <xdr:row>23</xdr:row>
      <xdr:rowOff>874058</xdr:rowOff>
    </xdr:to>
    <xdr:pic>
      <xdr:nvPicPr>
        <xdr:cNvPr id="95" name="Imagen 94">
          <a:extLst>
            <a:ext uri="{FF2B5EF4-FFF2-40B4-BE49-F238E27FC236}">
              <a16:creationId xmlns:a16="http://schemas.microsoft.com/office/drawing/2014/main" id="{3652DE4A-AB43-4282-8713-6B5C74289032}"/>
            </a:ext>
          </a:extLst>
        </xdr:cNvPr>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bwMode="auto">
        <a:xfrm>
          <a:off x="926727" y="15434421"/>
          <a:ext cx="716056" cy="7844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100854</xdr:colOff>
      <xdr:row>24</xdr:row>
      <xdr:rowOff>145677</xdr:rowOff>
    </xdr:from>
    <xdr:to>
      <xdr:col>2</xdr:col>
      <xdr:colOff>963708</xdr:colOff>
      <xdr:row>24</xdr:row>
      <xdr:rowOff>952651</xdr:rowOff>
    </xdr:to>
    <xdr:pic>
      <xdr:nvPicPr>
        <xdr:cNvPr id="96" name="Imagen 95">
          <a:extLst>
            <a:ext uri="{FF2B5EF4-FFF2-40B4-BE49-F238E27FC236}">
              <a16:creationId xmlns:a16="http://schemas.microsoft.com/office/drawing/2014/main" id="{0F68154E-0E7F-43EB-8204-91DA4F630B96}"/>
            </a:ext>
          </a:extLst>
        </xdr:cNvPr>
        <xdr:cNvPicPr>
          <a:picLocks noChangeAspect="1"/>
        </xdr:cNvPicPr>
      </xdr:nvPicPr>
      <xdr:blipFill>
        <a:blip xmlns:r="http://schemas.openxmlformats.org/officeDocument/2006/relationships" r:embed="rId71"/>
        <a:stretch>
          <a:fillRect/>
        </a:stretch>
      </xdr:blipFill>
      <xdr:spPr>
        <a:xfrm>
          <a:off x="824754" y="16538202"/>
          <a:ext cx="862854" cy="806974"/>
        </a:xfrm>
        <a:prstGeom prst="rect">
          <a:avLst/>
        </a:prstGeom>
      </xdr:spPr>
    </xdr:pic>
    <xdr:clientData/>
  </xdr:twoCellAnchor>
  <xdr:twoCellAnchor>
    <xdr:from>
      <xdr:col>2</xdr:col>
      <xdr:colOff>100854</xdr:colOff>
      <xdr:row>25</xdr:row>
      <xdr:rowOff>145677</xdr:rowOff>
    </xdr:from>
    <xdr:to>
      <xdr:col>2</xdr:col>
      <xdr:colOff>963708</xdr:colOff>
      <xdr:row>25</xdr:row>
      <xdr:rowOff>952651</xdr:rowOff>
    </xdr:to>
    <xdr:pic>
      <xdr:nvPicPr>
        <xdr:cNvPr id="97" name="Imagen 96">
          <a:extLst>
            <a:ext uri="{FF2B5EF4-FFF2-40B4-BE49-F238E27FC236}">
              <a16:creationId xmlns:a16="http://schemas.microsoft.com/office/drawing/2014/main" id="{09745796-D3CD-4BBC-9598-71462DB09A39}"/>
            </a:ext>
          </a:extLst>
        </xdr:cNvPr>
        <xdr:cNvPicPr>
          <a:picLocks noChangeAspect="1"/>
        </xdr:cNvPicPr>
      </xdr:nvPicPr>
      <xdr:blipFill>
        <a:blip xmlns:r="http://schemas.openxmlformats.org/officeDocument/2006/relationships" r:embed="rId71"/>
        <a:stretch>
          <a:fillRect/>
        </a:stretch>
      </xdr:blipFill>
      <xdr:spPr>
        <a:xfrm>
          <a:off x="824754" y="17700252"/>
          <a:ext cx="862854" cy="806974"/>
        </a:xfrm>
        <a:prstGeom prst="rect">
          <a:avLst/>
        </a:prstGeom>
      </xdr:spPr>
    </xdr:pic>
    <xdr:clientData/>
  </xdr:twoCellAnchor>
  <xdr:twoCellAnchor>
    <xdr:from>
      <xdr:col>2</xdr:col>
      <xdr:colOff>100854</xdr:colOff>
      <xdr:row>26</xdr:row>
      <xdr:rowOff>145677</xdr:rowOff>
    </xdr:from>
    <xdr:to>
      <xdr:col>2</xdr:col>
      <xdr:colOff>963708</xdr:colOff>
      <xdr:row>26</xdr:row>
      <xdr:rowOff>952651</xdr:rowOff>
    </xdr:to>
    <xdr:pic>
      <xdr:nvPicPr>
        <xdr:cNvPr id="98" name="Imagen 97">
          <a:extLst>
            <a:ext uri="{FF2B5EF4-FFF2-40B4-BE49-F238E27FC236}">
              <a16:creationId xmlns:a16="http://schemas.microsoft.com/office/drawing/2014/main" id="{75F595BC-DD85-4B56-9B70-B75B297912BA}"/>
            </a:ext>
          </a:extLst>
        </xdr:cNvPr>
        <xdr:cNvPicPr>
          <a:picLocks noChangeAspect="1"/>
        </xdr:cNvPicPr>
      </xdr:nvPicPr>
      <xdr:blipFill>
        <a:blip xmlns:r="http://schemas.openxmlformats.org/officeDocument/2006/relationships" r:embed="rId71"/>
        <a:stretch>
          <a:fillRect/>
        </a:stretch>
      </xdr:blipFill>
      <xdr:spPr>
        <a:xfrm>
          <a:off x="824754" y="18805152"/>
          <a:ext cx="862854" cy="806974"/>
        </a:xfrm>
        <a:prstGeom prst="rect">
          <a:avLst/>
        </a:prstGeom>
      </xdr:spPr>
    </xdr:pic>
    <xdr:clientData/>
  </xdr:twoCellAnchor>
  <xdr:twoCellAnchor>
    <xdr:from>
      <xdr:col>2</xdr:col>
      <xdr:colOff>257734</xdr:colOff>
      <xdr:row>32</xdr:row>
      <xdr:rowOff>134470</xdr:rowOff>
    </xdr:from>
    <xdr:to>
      <xdr:col>2</xdr:col>
      <xdr:colOff>829236</xdr:colOff>
      <xdr:row>32</xdr:row>
      <xdr:rowOff>959402</xdr:rowOff>
    </xdr:to>
    <xdr:pic>
      <xdr:nvPicPr>
        <xdr:cNvPr id="99" name="Imagen 98">
          <a:extLst>
            <a:ext uri="{FF2B5EF4-FFF2-40B4-BE49-F238E27FC236}">
              <a16:creationId xmlns:a16="http://schemas.microsoft.com/office/drawing/2014/main" id="{B0C5FDF1-0B58-4184-8DDA-356A2FFB43F5}"/>
            </a:ext>
          </a:extLst>
        </xdr:cNvPr>
        <xdr:cNvPicPr>
          <a:picLocks noChangeAspect="1" noChangeArrowheads="1"/>
        </xdr:cNvPicPr>
      </xdr:nvPicPr>
      <xdr:blipFill>
        <a:blip xmlns:r="http://schemas.openxmlformats.org/officeDocument/2006/relationships" r:embed="rId72" cstate="print">
          <a:extLst>
            <a:ext uri="{28A0092B-C50C-407E-A947-70E740481C1C}">
              <a14:useLocalDpi xmlns:a14="http://schemas.microsoft.com/office/drawing/2010/main" val="0"/>
            </a:ext>
          </a:extLst>
        </a:blip>
        <a:srcRect/>
        <a:stretch>
          <a:fillRect/>
        </a:stretch>
      </xdr:blipFill>
      <xdr:spPr bwMode="auto">
        <a:xfrm>
          <a:off x="981634" y="21622870"/>
          <a:ext cx="571502" cy="8249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264458</xdr:colOff>
      <xdr:row>34</xdr:row>
      <xdr:rowOff>129987</xdr:rowOff>
    </xdr:from>
    <xdr:to>
      <xdr:col>2</xdr:col>
      <xdr:colOff>835960</xdr:colOff>
      <xdr:row>34</xdr:row>
      <xdr:rowOff>954919</xdr:rowOff>
    </xdr:to>
    <xdr:pic>
      <xdr:nvPicPr>
        <xdr:cNvPr id="100" name="Imagen 99">
          <a:extLst>
            <a:ext uri="{FF2B5EF4-FFF2-40B4-BE49-F238E27FC236}">
              <a16:creationId xmlns:a16="http://schemas.microsoft.com/office/drawing/2014/main" id="{768D2373-7DED-4C97-92DA-A845628A0767}"/>
            </a:ext>
          </a:extLst>
        </xdr:cNvPr>
        <xdr:cNvPicPr>
          <a:picLocks noChangeAspect="1" noChangeArrowheads="1"/>
        </xdr:cNvPicPr>
      </xdr:nvPicPr>
      <xdr:blipFill>
        <a:blip xmlns:r="http://schemas.openxmlformats.org/officeDocument/2006/relationships" r:embed="rId72" cstate="print">
          <a:extLst>
            <a:ext uri="{28A0092B-C50C-407E-A947-70E740481C1C}">
              <a14:useLocalDpi xmlns:a14="http://schemas.microsoft.com/office/drawing/2010/main" val="0"/>
            </a:ext>
          </a:extLst>
        </a:blip>
        <a:srcRect/>
        <a:stretch>
          <a:fillRect/>
        </a:stretch>
      </xdr:blipFill>
      <xdr:spPr bwMode="auto">
        <a:xfrm>
          <a:off x="988358" y="23751987"/>
          <a:ext cx="571502" cy="8249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268943</xdr:colOff>
      <xdr:row>33</xdr:row>
      <xdr:rowOff>145676</xdr:rowOff>
    </xdr:from>
    <xdr:to>
      <xdr:col>2</xdr:col>
      <xdr:colOff>832228</xdr:colOff>
      <xdr:row>33</xdr:row>
      <xdr:rowOff>994522</xdr:rowOff>
    </xdr:to>
    <xdr:pic>
      <xdr:nvPicPr>
        <xdr:cNvPr id="101" name="Imagen 100">
          <a:extLst>
            <a:ext uri="{FF2B5EF4-FFF2-40B4-BE49-F238E27FC236}">
              <a16:creationId xmlns:a16="http://schemas.microsoft.com/office/drawing/2014/main" id="{76C63177-9285-43C7-819E-2707A2CD45A3}"/>
            </a:ext>
          </a:extLst>
        </xdr:cNvPr>
        <xdr:cNvPicPr>
          <a:picLocks noChangeAspect="1" noChangeArrowheads="1"/>
        </xdr:cNvPicPr>
      </xdr:nvPicPr>
      <xdr:blipFill>
        <a:blip xmlns:r="http://schemas.openxmlformats.org/officeDocument/2006/relationships" r:embed="rId73" cstate="print">
          <a:extLst>
            <a:ext uri="{28A0092B-C50C-407E-A947-70E740481C1C}">
              <a14:useLocalDpi xmlns:a14="http://schemas.microsoft.com/office/drawing/2010/main" val="0"/>
            </a:ext>
          </a:extLst>
        </a:blip>
        <a:srcRect/>
        <a:stretch>
          <a:fillRect/>
        </a:stretch>
      </xdr:blipFill>
      <xdr:spPr bwMode="auto">
        <a:xfrm>
          <a:off x="992843" y="22710401"/>
          <a:ext cx="563285" cy="8488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280147</xdr:colOff>
      <xdr:row>35</xdr:row>
      <xdr:rowOff>112059</xdr:rowOff>
    </xdr:from>
    <xdr:to>
      <xdr:col>2</xdr:col>
      <xdr:colOff>843432</xdr:colOff>
      <xdr:row>35</xdr:row>
      <xdr:rowOff>960905</xdr:rowOff>
    </xdr:to>
    <xdr:pic>
      <xdr:nvPicPr>
        <xdr:cNvPr id="102" name="Imagen 101">
          <a:extLst>
            <a:ext uri="{FF2B5EF4-FFF2-40B4-BE49-F238E27FC236}">
              <a16:creationId xmlns:a16="http://schemas.microsoft.com/office/drawing/2014/main" id="{76FEC754-7278-44AE-B26C-B22F3FF7F42C}"/>
            </a:ext>
          </a:extLst>
        </xdr:cNvPr>
        <xdr:cNvPicPr>
          <a:picLocks noChangeAspect="1" noChangeArrowheads="1"/>
        </xdr:cNvPicPr>
      </xdr:nvPicPr>
      <xdr:blipFill>
        <a:blip xmlns:r="http://schemas.openxmlformats.org/officeDocument/2006/relationships" r:embed="rId73" cstate="print">
          <a:extLst>
            <a:ext uri="{28A0092B-C50C-407E-A947-70E740481C1C}">
              <a14:useLocalDpi xmlns:a14="http://schemas.microsoft.com/office/drawing/2010/main" val="0"/>
            </a:ext>
          </a:extLst>
        </a:blip>
        <a:srcRect/>
        <a:stretch>
          <a:fillRect/>
        </a:stretch>
      </xdr:blipFill>
      <xdr:spPr bwMode="auto">
        <a:xfrm>
          <a:off x="1004047" y="24772284"/>
          <a:ext cx="563285" cy="8488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302559</xdr:colOff>
      <xdr:row>13</xdr:row>
      <xdr:rowOff>99171</xdr:rowOff>
    </xdr:from>
    <xdr:to>
      <xdr:col>2</xdr:col>
      <xdr:colOff>862853</xdr:colOff>
      <xdr:row>13</xdr:row>
      <xdr:rowOff>977973</xdr:rowOff>
    </xdr:to>
    <xdr:pic>
      <xdr:nvPicPr>
        <xdr:cNvPr id="103" name="Imagen 102">
          <a:extLst>
            <a:ext uri="{FF2B5EF4-FFF2-40B4-BE49-F238E27FC236}">
              <a16:creationId xmlns:a16="http://schemas.microsoft.com/office/drawing/2014/main" id="{8EE9EDC0-AB98-4703-AFE6-B09E8ACC24BC}"/>
            </a:ext>
          </a:extLst>
        </xdr:cNvPr>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1026459" y="8852646"/>
          <a:ext cx="560294" cy="8788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257734</xdr:colOff>
      <xdr:row>16</xdr:row>
      <xdr:rowOff>67795</xdr:rowOff>
    </xdr:from>
    <xdr:to>
      <xdr:col>2</xdr:col>
      <xdr:colOff>829236</xdr:colOff>
      <xdr:row>16</xdr:row>
      <xdr:rowOff>892727</xdr:rowOff>
    </xdr:to>
    <xdr:pic>
      <xdr:nvPicPr>
        <xdr:cNvPr id="104" name="Imagen 103">
          <a:extLst>
            <a:ext uri="{FF2B5EF4-FFF2-40B4-BE49-F238E27FC236}">
              <a16:creationId xmlns:a16="http://schemas.microsoft.com/office/drawing/2014/main" id="{EFC65EA1-831F-40EC-8AAA-D116F7F4F911}"/>
            </a:ext>
          </a:extLst>
        </xdr:cNvPr>
        <xdr:cNvPicPr>
          <a:picLocks noChangeAspect="1" noChangeArrowheads="1"/>
        </xdr:cNvPicPr>
      </xdr:nvPicPr>
      <xdr:blipFill>
        <a:blip xmlns:r="http://schemas.openxmlformats.org/officeDocument/2006/relationships" r:embed="rId72" cstate="print">
          <a:extLst>
            <a:ext uri="{28A0092B-C50C-407E-A947-70E740481C1C}">
              <a14:useLocalDpi xmlns:a14="http://schemas.microsoft.com/office/drawing/2010/main" val="0"/>
            </a:ext>
          </a:extLst>
        </a:blip>
        <a:srcRect/>
        <a:stretch>
          <a:fillRect/>
        </a:stretch>
      </xdr:blipFill>
      <xdr:spPr bwMode="auto">
        <a:xfrm>
          <a:off x="981634" y="10316695"/>
          <a:ext cx="571502" cy="8249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264458</xdr:colOff>
      <xdr:row>18</xdr:row>
      <xdr:rowOff>72837</xdr:rowOff>
    </xdr:from>
    <xdr:to>
      <xdr:col>2</xdr:col>
      <xdr:colOff>835960</xdr:colOff>
      <xdr:row>18</xdr:row>
      <xdr:rowOff>897769</xdr:rowOff>
    </xdr:to>
    <xdr:pic>
      <xdr:nvPicPr>
        <xdr:cNvPr id="105" name="Imagen 104">
          <a:extLst>
            <a:ext uri="{FF2B5EF4-FFF2-40B4-BE49-F238E27FC236}">
              <a16:creationId xmlns:a16="http://schemas.microsoft.com/office/drawing/2014/main" id="{3418C3CB-4D72-4B11-8BA0-283C9395A120}"/>
            </a:ext>
          </a:extLst>
        </xdr:cNvPr>
        <xdr:cNvPicPr>
          <a:picLocks noChangeAspect="1" noChangeArrowheads="1"/>
        </xdr:cNvPicPr>
      </xdr:nvPicPr>
      <xdr:blipFill>
        <a:blip xmlns:r="http://schemas.openxmlformats.org/officeDocument/2006/relationships" r:embed="rId72" cstate="print">
          <a:extLst>
            <a:ext uri="{28A0092B-C50C-407E-A947-70E740481C1C}">
              <a14:useLocalDpi xmlns:a14="http://schemas.microsoft.com/office/drawing/2010/main" val="0"/>
            </a:ext>
          </a:extLst>
        </a:blip>
        <a:srcRect/>
        <a:stretch>
          <a:fillRect/>
        </a:stretch>
      </xdr:blipFill>
      <xdr:spPr bwMode="auto">
        <a:xfrm>
          <a:off x="988358" y="12217212"/>
          <a:ext cx="571502" cy="8249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268943</xdr:colOff>
      <xdr:row>17</xdr:row>
      <xdr:rowOff>59951</xdr:rowOff>
    </xdr:from>
    <xdr:to>
      <xdr:col>2</xdr:col>
      <xdr:colOff>832228</xdr:colOff>
      <xdr:row>17</xdr:row>
      <xdr:rowOff>908797</xdr:rowOff>
    </xdr:to>
    <xdr:pic>
      <xdr:nvPicPr>
        <xdr:cNvPr id="106" name="Imagen 105">
          <a:extLst>
            <a:ext uri="{FF2B5EF4-FFF2-40B4-BE49-F238E27FC236}">
              <a16:creationId xmlns:a16="http://schemas.microsoft.com/office/drawing/2014/main" id="{CC34B350-8221-4DB6-8AEE-2A91F9ABC944}"/>
            </a:ext>
          </a:extLst>
        </xdr:cNvPr>
        <xdr:cNvPicPr>
          <a:picLocks noChangeAspect="1" noChangeArrowheads="1"/>
        </xdr:cNvPicPr>
      </xdr:nvPicPr>
      <xdr:blipFill>
        <a:blip xmlns:r="http://schemas.openxmlformats.org/officeDocument/2006/relationships" r:embed="rId73" cstate="print">
          <a:extLst>
            <a:ext uri="{28A0092B-C50C-407E-A947-70E740481C1C}">
              <a14:useLocalDpi xmlns:a14="http://schemas.microsoft.com/office/drawing/2010/main" val="0"/>
            </a:ext>
          </a:extLst>
        </a:blip>
        <a:srcRect/>
        <a:stretch>
          <a:fillRect/>
        </a:stretch>
      </xdr:blipFill>
      <xdr:spPr bwMode="auto">
        <a:xfrm>
          <a:off x="992843" y="11251826"/>
          <a:ext cx="563285" cy="8488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280147</xdr:colOff>
      <xdr:row>19</xdr:row>
      <xdr:rowOff>64434</xdr:rowOff>
    </xdr:from>
    <xdr:to>
      <xdr:col>2</xdr:col>
      <xdr:colOff>843432</xdr:colOff>
      <xdr:row>19</xdr:row>
      <xdr:rowOff>913280</xdr:rowOff>
    </xdr:to>
    <xdr:pic>
      <xdr:nvPicPr>
        <xdr:cNvPr id="107" name="Imagen 106">
          <a:extLst>
            <a:ext uri="{FF2B5EF4-FFF2-40B4-BE49-F238E27FC236}">
              <a16:creationId xmlns:a16="http://schemas.microsoft.com/office/drawing/2014/main" id="{43212037-7A27-4B4E-B22B-15549759049D}"/>
            </a:ext>
          </a:extLst>
        </xdr:cNvPr>
        <xdr:cNvPicPr>
          <a:picLocks noChangeAspect="1" noChangeArrowheads="1"/>
        </xdr:cNvPicPr>
      </xdr:nvPicPr>
      <xdr:blipFill>
        <a:blip xmlns:r="http://schemas.openxmlformats.org/officeDocument/2006/relationships" r:embed="rId73" cstate="print">
          <a:extLst>
            <a:ext uri="{28A0092B-C50C-407E-A947-70E740481C1C}">
              <a14:useLocalDpi xmlns:a14="http://schemas.microsoft.com/office/drawing/2010/main" val="0"/>
            </a:ext>
          </a:extLst>
        </a:blip>
        <a:srcRect/>
        <a:stretch>
          <a:fillRect/>
        </a:stretch>
      </xdr:blipFill>
      <xdr:spPr bwMode="auto">
        <a:xfrm>
          <a:off x="1004047" y="13170834"/>
          <a:ext cx="563285" cy="8488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200026</xdr:colOff>
      <xdr:row>143</xdr:row>
      <xdr:rowOff>38100</xdr:rowOff>
    </xdr:from>
    <xdr:to>
      <xdr:col>2</xdr:col>
      <xdr:colOff>998969</xdr:colOff>
      <xdr:row>143</xdr:row>
      <xdr:rowOff>561975</xdr:rowOff>
    </xdr:to>
    <xdr:pic>
      <xdr:nvPicPr>
        <xdr:cNvPr id="109" name="Imagen 108">
          <a:extLst>
            <a:ext uri="{FF2B5EF4-FFF2-40B4-BE49-F238E27FC236}">
              <a16:creationId xmlns:a16="http://schemas.microsoft.com/office/drawing/2014/main" id="{76C50C9B-8E8E-4E7D-92EB-00A733E06CEE}"/>
            </a:ext>
          </a:extLst>
        </xdr:cNvPr>
        <xdr:cNvPicPr>
          <a:picLocks noChangeAspect="1"/>
        </xdr:cNvPicPr>
      </xdr:nvPicPr>
      <xdr:blipFill>
        <a:blip xmlns:r="http://schemas.openxmlformats.org/officeDocument/2006/relationships" r:embed="rId74"/>
        <a:stretch>
          <a:fillRect/>
        </a:stretch>
      </xdr:blipFill>
      <xdr:spPr>
        <a:xfrm>
          <a:off x="923926" y="96621600"/>
          <a:ext cx="798943" cy="523875"/>
        </a:xfrm>
        <a:prstGeom prst="rect">
          <a:avLst/>
        </a:prstGeom>
      </xdr:spPr>
    </xdr:pic>
    <xdr:clientData/>
  </xdr:twoCellAnchor>
  <xdr:twoCellAnchor>
    <xdr:from>
      <xdr:col>2</xdr:col>
      <xdr:colOff>81643</xdr:colOff>
      <xdr:row>63</xdr:row>
      <xdr:rowOff>340177</xdr:rowOff>
    </xdr:from>
    <xdr:to>
      <xdr:col>3</xdr:col>
      <xdr:colOff>27214</xdr:colOff>
      <xdr:row>63</xdr:row>
      <xdr:rowOff>1006928</xdr:rowOff>
    </xdr:to>
    <xdr:pic>
      <xdr:nvPicPr>
        <xdr:cNvPr id="110" name="Imagen 59">
          <a:extLst>
            <a:ext uri="{FF2B5EF4-FFF2-40B4-BE49-F238E27FC236}">
              <a16:creationId xmlns:a16="http://schemas.microsoft.com/office/drawing/2014/main" id="{2028C654-C55E-4B09-8194-1056A5216DD3}"/>
            </a:ext>
          </a:extLst>
        </xdr:cNvPr>
        <xdr:cNvPicPr>
          <a:picLocks noChangeAspect="1"/>
        </xdr:cNvPicPr>
      </xdr:nvPicPr>
      <xdr:blipFill>
        <a:blip xmlns:r="http://schemas.openxmlformats.org/officeDocument/2006/relationships" r:embed="rId22"/>
        <a:stretch>
          <a:fillRect/>
        </a:stretch>
      </xdr:blipFill>
      <xdr:spPr>
        <a:xfrm>
          <a:off x="910318" y="37744852"/>
          <a:ext cx="993321" cy="666751"/>
        </a:xfrm>
        <a:prstGeom prst="rect">
          <a:avLst/>
        </a:prstGeom>
      </xdr:spPr>
    </xdr:pic>
    <xdr:clientData/>
  </xdr:twoCellAnchor>
  <xdr:twoCellAnchor>
    <xdr:from>
      <xdr:col>2</xdr:col>
      <xdr:colOff>108857</xdr:colOff>
      <xdr:row>65</xdr:row>
      <xdr:rowOff>40821</xdr:rowOff>
    </xdr:from>
    <xdr:to>
      <xdr:col>3</xdr:col>
      <xdr:colOff>27214</xdr:colOff>
      <xdr:row>65</xdr:row>
      <xdr:rowOff>810928</xdr:rowOff>
    </xdr:to>
    <xdr:pic>
      <xdr:nvPicPr>
        <xdr:cNvPr id="111" name="Imagen 61">
          <a:extLst>
            <a:ext uri="{FF2B5EF4-FFF2-40B4-BE49-F238E27FC236}">
              <a16:creationId xmlns:a16="http://schemas.microsoft.com/office/drawing/2014/main" id="{AE6456B9-CAAB-46DE-A93F-4AB319EDFE89}"/>
            </a:ext>
          </a:extLst>
        </xdr:cNvPr>
        <xdr:cNvPicPr>
          <a:picLocks noChangeAspect="1"/>
        </xdr:cNvPicPr>
      </xdr:nvPicPr>
      <xdr:blipFill>
        <a:blip xmlns:r="http://schemas.openxmlformats.org/officeDocument/2006/relationships" r:embed="rId24"/>
        <a:stretch>
          <a:fillRect/>
        </a:stretch>
      </xdr:blipFill>
      <xdr:spPr>
        <a:xfrm>
          <a:off x="937532" y="39693396"/>
          <a:ext cx="966107" cy="770107"/>
        </a:xfrm>
        <a:prstGeom prst="rect">
          <a:avLst/>
        </a:prstGeom>
      </xdr:spPr>
    </xdr:pic>
    <xdr:clientData/>
  </xdr:twoCellAnchor>
  <xdr:twoCellAnchor>
    <xdr:from>
      <xdr:col>2</xdr:col>
      <xdr:colOff>219075</xdr:colOff>
      <xdr:row>221</xdr:row>
      <xdr:rowOff>47625</xdr:rowOff>
    </xdr:from>
    <xdr:to>
      <xdr:col>2</xdr:col>
      <xdr:colOff>1052408</xdr:colOff>
      <xdr:row>221</xdr:row>
      <xdr:rowOff>685800</xdr:rowOff>
    </xdr:to>
    <xdr:pic>
      <xdr:nvPicPr>
        <xdr:cNvPr id="112" name="Imagen 111">
          <a:extLst>
            <a:ext uri="{FF2B5EF4-FFF2-40B4-BE49-F238E27FC236}">
              <a16:creationId xmlns:a16="http://schemas.microsoft.com/office/drawing/2014/main" id="{7354443C-EDF8-483D-9043-6ABFE0232404}"/>
            </a:ext>
          </a:extLst>
        </xdr:cNvPr>
        <xdr:cNvPicPr>
          <a:picLocks noChangeAspect="1" noChangeArrowheads="1"/>
        </xdr:cNvPicPr>
      </xdr:nvPicPr>
      <xdr:blipFill>
        <a:blip xmlns:r="http://schemas.openxmlformats.org/officeDocument/2006/relationships" r:embed="rId75" cstate="print">
          <a:extLst>
            <a:ext uri="{28A0092B-C50C-407E-A947-70E740481C1C}">
              <a14:useLocalDpi xmlns:a14="http://schemas.microsoft.com/office/drawing/2010/main" val="0"/>
            </a:ext>
          </a:extLst>
        </a:blip>
        <a:srcRect/>
        <a:stretch>
          <a:fillRect/>
        </a:stretch>
      </xdr:blipFill>
      <xdr:spPr bwMode="auto">
        <a:xfrm>
          <a:off x="942975" y="143998950"/>
          <a:ext cx="833333" cy="63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200026</xdr:colOff>
      <xdr:row>226</xdr:row>
      <xdr:rowOff>66675</xdr:rowOff>
    </xdr:from>
    <xdr:to>
      <xdr:col>2</xdr:col>
      <xdr:colOff>1057276</xdr:colOff>
      <xdr:row>226</xdr:row>
      <xdr:rowOff>719763</xdr:rowOff>
    </xdr:to>
    <xdr:pic>
      <xdr:nvPicPr>
        <xdr:cNvPr id="113" name="Imagen 112">
          <a:extLst>
            <a:ext uri="{FF2B5EF4-FFF2-40B4-BE49-F238E27FC236}">
              <a16:creationId xmlns:a16="http://schemas.microsoft.com/office/drawing/2014/main" id="{0585DD3C-59A3-490B-8287-04EC571AE043}"/>
            </a:ext>
          </a:extLst>
        </xdr:cNvPr>
        <xdr:cNvPicPr>
          <a:picLocks noChangeAspect="1" noChangeArrowheads="1"/>
        </xdr:cNvPicPr>
      </xdr:nvPicPr>
      <xdr:blipFill>
        <a:blip xmlns:r="http://schemas.openxmlformats.org/officeDocument/2006/relationships" r:embed="rId76" cstate="print">
          <a:extLst>
            <a:ext uri="{28A0092B-C50C-407E-A947-70E740481C1C}">
              <a14:useLocalDpi xmlns:a14="http://schemas.microsoft.com/office/drawing/2010/main" val="0"/>
            </a:ext>
          </a:extLst>
        </a:blip>
        <a:srcRect/>
        <a:stretch>
          <a:fillRect/>
        </a:stretch>
      </xdr:blipFill>
      <xdr:spPr bwMode="auto">
        <a:xfrm>
          <a:off x="923926" y="146399250"/>
          <a:ext cx="857250" cy="6530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29095-03B6-4D78-B479-4B619F760AF6}">
  <sheetPr>
    <tabColor theme="0" tint="-0.14999847407452621"/>
  </sheetPr>
  <dimension ref="A1:CO389"/>
  <sheetViews>
    <sheetView zoomScale="85" zoomScaleNormal="85" workbookViewId="0">
      <pane xSplit="7" ySplit="4" topLeftCell="H139" activePane="bottomRight" state="frozen"/>
      <selection pane="topRight" activeCell="H1" sqref="H1"/>
      <selection pane="bottomLeft" activeCell="A5" sqref="A5"/>
      <selection pane="bottomRight" activeCell="D154" sqref="D154"/>
    </sheetView>
  </sheetViews>
  <sheetFormatPr baseColWidth="10" defaultColWidth="11.36328125" defaultRowHeight="14.5" x14ac:dyDescent="0.35"/>
  <cols>
    <col min="1" max="1" width="3.36328125" style="55" customWidth="1"/>
    <col min="2" max="2" width="26.26953125" style="55" customWidth="1"/>
    <col min="3" max="3" width="20.81640625" style="55" customWidth="1"/>
    <col min="4" max="4" width="80.36328125" style="55" customWidth="1"/>
    <col min="5" max="5" width="21.36328125" style="55" customWidth="1"/>
    <col min="6" max="6" width="12.36328125" style="62" customWidth="1"/>
    <col min="7" max="7" width="10.7265625" style="58" customWidth="1"/>
    <col min="8" max="8" width="13.36328125" style="58" customWidth="1"/>
    <col min="9" max="9" width="2.36328125" customWidth="1"/>
    <col min="10" max="10" width="14.54296875" style="59" customWidth="1"/>
    <col min="11" max="11" width="6.36328125" style="59" hidden="1" customWidth="1"/>
    <col min="12" max="12" width="14.1796875" style="305" customWidth="1"/>
    <col min="13" max="13" width="3.1796875" style="58" customWidth="1"/>
    <col min="14" max="14" width="14.54296875" style="58" customWidth="1"/>
    <col min="15" max="15" width="13.36328125" style="58" bestFit="1" customWidth="1"/>
    <col min="16" max="16" width="18.54296875" hidden="1" customWidth="1"/>
    <col min="17" max="17" width="10.1796875" hidden="1" customWidth="1"/>
    <col min="18" max="18" width="8.1796875" hidden="1" customWidth="1"/>
    <col min="19" max="21" width="18.54296875" hidden="1" customWidth="1"/>
    <col min="22" max="22" width="2.81640625" style="55" customWidth="1"/>
    <col min="23" max="23" width="15.36328125" style="62" hidden="1" customWidth="1"/>
    <col min="24" max="24" width="13.81640625" style="62" hidden="1" customWidth="1"/>
    <col min="25" max="25" width="11.36328125" style="55" hidden="1" customWidth="1"/>
    <col min="26" max="26" width="13.36328125" style="55" customWidth="1"/>
    <col min="27" max="27" width="14" style="55" bestFit="1" customWidth="1"/>
    <col min="28" max="28" width="3.54296875" style="55" customWidth="1"/>
    <col min="29" max="33" width="11.36328125" style="55" hidden="1" customWidth="1"/>
    <col min="34" max="34" width="4.54296875" style="55" customWidth="1"/>
    <col min="35" max="16384" width="11.36328125" style="55"/>
  </cols>
  <sheetData>
    <row r="1" spans="2:36" ht="25.5" customHeight="1" x14ac:dyDescent="0.35">
      <c r="H1" s="388"/>
    </row>
    <row r="2" spans="2:36" ht="56.25" customHeight="1" x14ac:dyDescent="0.35">
      <c r="B2" s="551" t="s">
        <v>0</v>
      </c>
      <c r="C2" s="552"/>
      <c r="D2" s="62"/>
      <c r="E2" s="62"/>
      <c r="H2" s="303" t="s">
        <v>1</v>
      </c>
      <c r="J2" s="553" t="s">
        <v>2</v>
      </c>
      <c r="K2" s="553"/>
      <c r="L2" s="554"/>
      <c r="N2" s="207"/>
      <c r="O2" s="208" t="s">
        <v>3</v>
      </c>
      <c r="W2" s="207">
        <v>1.9</v>
      </c>
      <c r="X2" s="208" t="s">
        <v>4</v>
      </c>
      <c r="Z2" s="207"/>
      <c r="AA2" s="208" t="s">
        <v>5</v>
      </c>
      <c r="AC2" s="555" t="s">
        <v>6</v>
      </c>
      <c r="AD2" s="555"/>
      <c r="AE2" s="555"/>
      <c r="AF2" s="555"/>
      <c r="AG2" s="555"/>
      <c r="AI2" s="208"/>
    </row>
    <row r="3" spans="2:36" ht="7.5" customHeight="1" x14ac:dyDescent="0.35">
      <c r="H3" s="192"/>
      <c r="J3" s="69"/>
      <c r="K3" s="69"/>
      <c r="L3" s="223"/>
      <c r="N3" s="192"/>
      <c r="O3" s="193"/>
      <c r="W3" s="192"/>
      <c r="X3" s="193"/>
      <c r="Z3" s="192"/>
      <c r="AA3" s="193"/>
      <c r="AC3" s="306"/>
      <c r="AD3" s="306"/>
      <c r="AE3" s="306"/>
      <c r="AF3" s="306"/>
      <c r="AG3" s="306"/>
      <c r="AI3" s="193"/>
    </row>
    <row r="4" spans="2:36" ht="43.5" x14ac:dyDescent="0.45">
      <c r="B4" s="105" t="s">
        <v>7</v>
      </c>
      <c r="C4" s="105"/>
      <c r="D4" s="105" t="s">
        <v>8</v>
      </c>
      <c r="E4" s="106" t="s">
        <v>9</v>
      </c>
      <c r="F4" s="107" t="s">
        <v>10</v>
      </c>
      <c r="G4" s="57"/>
      <c r="H4" s="194" t="s">
        <v>773</v>
      </c>
      <c r="J4" s="195" t="s">
        <v>11</v>
      </c>
      <c r="K4" s="222" t="s">
        <v>4</v>
      </c>
      <c r="L4" s="414" t="s">
        <v>12</v>
      </c>
      <c r="N4" s="241" t="s">
        <v>13</v>
      </c>
      <c r="O4" s="210" t="s">
        <v>14</v>
      </c>
      <c r="Q4" t="s">
        <v>15</v>
      </c>
      <c r="R4" t="s">
        <v>16</v>
      </c>
      <c r="S4" t="s">
        <v>17</v>
      </c>
      <c r="W4" s="209" t="s">
        <v>18</v>
      </c>
      <c r="X4" s="210" t="s">
        <v>19</v>
      </c>
      <c r="Z4" s="241" t="s">
        <v>13</v>
      </c>
      <c r="AA4" s="210" t="s">
        <v>20</v>
      </c>
      <c r="AC4" s="306" t="s">
        <v>21</v>
      </c>
      <c r="AD4" s="306" t="s">
        <v>22</v>
      </c>
      <c r="AE4" s="306" t="s">
        <v>23</v>
      </c>
      <c r="AF4" s="306" t="s">
        <v>24</v>
      </c>
      <c r="AG4" s="306" t="s">
        <v>25</v>
      </c>
      <c r="AI4" s="210" t="s">
        <v>26</v>
      </c>
    </row>
    <row r="5" spans="2:36" x14ac:dyDescent="0.35">
      <c r="B5" s="111" t="s">
        <v>27</v>
      </c>
      <c r="C5" s="111" t="s">
        <v>28</v>
      </c>
      <c r="D5" s="56"/>
      <c r="E5" s="56"/>
      <c r="F5" s="65"/>
      <c r="G5" s="57"/>
      <c r="H5" s="196"/>
      <c r="J5" s="70"/>
      <c r="K5" s="70"/>
      <c r="L5" s="415"/>
      <c r="N5" s="211"/>
      <c r="O5" s="197"/>
      <c r="W5" s="211"/>
      <c r="X5" s="197"/>
      <c r="Z5" s="211"/>
      <c r="AA5" s="197"/>
      <c r="AC5" s="306"/>
      <c r="AD5" s="306"/>
      <c r="AE5" s="306"/>
      <c r="AF5" s="306"/>
      <c r="AG5" s="306"/>
      <c r="AI5" s="55">
        <v>1</v>
      </c>
      <c r="AJ5" s="55" t="s">
        <v>29</v>
      </c>
    </row>
    <row r="6" spans="2:36" x14ac:dyDescent="0.35">
      <c r="B6" s="72"/>
      <c r="C6" s="72"/>
      <c r="D6" s="73" t="s">
        <v>30</v>
      </c>
      <c r="E6" s="73"/>
      <c r="F6" s="74"/>
      <c r="G6" s="75"/>
      <c r="H6" s="198"/>
      <c r="J6" s="76"/>
      <c r="K6" s="76"/>
      <c r="L6" s="416"/>
      <c r="N6" s="198"/>
      <c r="O6" s="199"/>
      <c r="W6" s="212"/>
      <c r="X6" s="199"/>
      <c r="Z6" s="198"/>
      <c r="AA6" s="199"/>
      <c r="AC6" s="306"/>
      <c r="AD6" s="306"/>
      <c r="AE6" s="306"/>
      <c r="AF6" s="306"/>
      <c r="AG6" s="306"/>
      <c r="AI6" s="55">
        <v>2</v>
      </c>
      <c r="AJ6" s="55" t="s">
        <v>31</v>
      </c>
    </row>
    <row r="7" spans="2:36" x14ac:dyDescent="0.35">
      <c r="D7" s="56"/>
      <c r="E7" s="56"/>
      <c r="F7" s="65"/>
      <c r="G7" s="498"/>
      <c r="H7" s="196"/>
      <c r="J7" s="70"/>
      <c r="K7" s="70"/>
      <c r="L7" s="415"/>
      <c r="N7" s="211"/>
      <c r="O7" s="197"/>
      <c r="W7" s="211"/>
      <c r="X7" s="197"/>
      <c r="Z7" s="211"/>
      <c r="AA7" s="197"/>
      <c r="AC7" s="306"/>
      <c r="AD7" s="306"/>
      <c r="AE7" s="306"/>
      <c r="AF7" s="306"/>
      <c r="AG7" s="306"/>
      <c r="AI7" s="55">
        <v>3</v>
      </c>
      <c r="AJ7" s="55" t="s">
        <v>32</v>
      </c>
    </row>
    <row r="8" spans="2:36" x14ac:dyDescent="0.35">
      <c r="B8" s="78" t="s">
        <v>33</v>
      </c>
      <c r="C8" s="78"/>
      <c r="D8" s="78" t="s">
        <v>34</v>
      </c>
      <c r="E8" s="80" t="s">
        <v>35</v>
      </c>
      <c r="F8" s="79"/>
      <c r="H8" s="192"/>
      <c r="J8" s="69"/>
      <c r="K8" s="69"/>
      <c r="L8" s="223"/>
      <c r="N8" s="214"/>
      <c r="O8" s="193"/>
      <c r="W8" s="213"/>
      <c r="X8" s="193"/>
      <c r="Z8" s="214"/>
      <c r="AA8" s="193"/>
      <c r="AC8" s="306"/>
      <c r="AD8" s="306"/>
      <c r="AE8" s="306"/>
      <c r="AF8" s="306"/>
      <c r="AG8" s="306"/>
      <c r="AI8" s="55">
        <v>4</v>
      </c>
      <c r="AJ8" s="55" t="s">
        <v>771</v>
      </c>
    </row>
    <row r="9" spans="2:36" ht="15.75" customHeight="1" x14ac:dyDescent="0.35">
      <c r="B9" s="55" t="s">
        <v>955</v>
      </c>
      <c r="C9" s="535" t="s">
        <v>793</v>
      </c>
      <c r="D9" s="55" t="s">
        <v>772</v>
      </c>
      <c r="E9" s="55" t="s">
        <v>36</v>
      </c>
      <c r="F9" s="62" t="s">
        <v>37</v>
      </c>
      <c r="H9" s="192">
        <v>48.61</v>
      </c>
      <c r="J9" s="71">
        <f t="shared" ref="J9:J13" si="0">(L9-H9)/L9</f>
        <v>0.5</v>
      </c>
      <c r="K9" s="500">
        <f>ROUNDUP(L9/H9,2)</f>
        <v>2</v>
      </c>
      <c r="L9" s="223">
        <v>97.22</v>
      </c>
      <c r="N9" s="214">
        <v>0.4</v>
      </c>
      <c r="O9" s="223">
        <f>ROUNDUP(H9/-(N9-1),3)</f>
        <v>81.01700000000001</v>
      </c>
      <c r="S9" s="501">
        <f>1831.37/36</f>
        <v>50.871388888888887</v>
      </c>
      <c r="T9">
        <f>14467.28/286.55</f>
        <v>50.487803175711043</v>
      </c>
      <c r="W9" s="214">
        <f t="shared" ref="W9:W13" si="1">(X9-H9)/X9</f>
        <v>0.47368421052631576</v>
      </c>
      <c r="X9" s="215">
        <f t="shared" ref="X9:X13" si="2">(H9*$W$2)</f>
        <v>92.358999999999995</v>
      </c>
      <c r="Y9" s="71"/>
      <c r="Z9" s="214">
        <v>0.43</v>
      </c>
      <c r="AA9" s="223">
        <f t="shared" ref="AA9:AA13" si="3">ROUNDUP(H9/-(Z9-1),3)</f>
        <v>85.281000000000006</v>
      </c>
      <c r="AB9" s="305"/>
      <c r="AC9" s="55">
        <v>73.540000000000006</v>
      </c>
      <c r="AD9" s="55">
        <v>91.8</v>
      </c>
      <c r="AE9" s="305">
        <v>55.31</v>
      </c>
      <c r="AF9" s="55">
        <f>78.7*0.8</f>
        <v>62.960000000000008</v>
      </c>
      <c r="AG9" s="55">
        <v>69.66</v>
      </c>
    </row>
    <row r="10" spans="2:36" ht="15.75" customHeight="1" x14ac:dyDescent="0.35">
      <c r="B10" s="55" t="s">
        <v>956</v>
      </c>
      <c r="C10" s="535" t="s">
        <v>794</v>
      </c>
      <c r="D10" s="55" t="s">
        <v>38</v>
      </c>
      <c r="E10" s="55" t="s">
        <v>39</v>
      </c>
      <c r="F10" s="62" t="s">
        <v>37</v>
      </c>
      <c r="H10" s="192">
        <v>61.72</v>
      </c>
      <c r="J10" s="71">
        <f t="shared" si="0"/>
        <v>0.5</v>
      </c>
      <c r="K10" s="500">
        <f t="shared" ref="K10:K13" si="4">ROUNDUP(L10/H10,2)</f>
        <v>2</v>
      </c>
      <c r="L10" s="223">
        <v>123.44</v>
      </c>
      <c r="N10" s="214">
        <v>0.4</v>
      </c>
      <c r="O10" s="223">
        <f>ROUNDUP(H10/-(N10-1),1)</f>
        <v>102.89999999999999</v>
      </c>
      <c r="Q10">
        <f>0.8*89.9</f>
        <v>71.92</v>
      </c>
      <c r="V10" s="242"/>
      <c r="W10" s="214">
        <f t="shared" si="1"/>
        <v>0.47368421052631576</v>
      </c>
      <c r="X10" s="215">
        <f t="shared" si="2"/>
        <v>117.26799999999999</v>
      </c>
      <c r="Z10" s="214">
        <v>0.43</v>
      </c>
      <c r="AA10" s="223">
        <f t="shared" si="3"/>
        <v>108.28100000000001</v>
      </c>
      <c r="AB10" s="305"/>
    </row>
    <row r="11" spans="2:36" ht="15.75" customHeight="1" x14ac:dyDescent="0.35">
      <c r="B11" s="55" t="s">
        <v>957</v>
      </c>
      <c r="C11" s="535" t="s">
        <v>931</v>
      </c>
      <c r="D11" s="55" t="s">
        <v>774</v>
      </c>
      <c r="E11" s="55" t="s">
        <v>39</v>
      </c>
      <c r="F11" s="62" t="s">
        <v>40</v>
      </c>
      <c r="H11" s="192">
        <v>35.9</v>
      </c>
      <c r="J11" s="71">
        <f t="shared" si="0"/>
        <v>0.5</v>
      </c>
      <c r="K11" s="500">
        <f t="shared" si="4"/>
        <v>2</v>
      </c>
      <c r="L11" s="223">
        <v>71.8</v>
      </c>
      <c r="N11" s="214">
        <v>0.4</v>
      </c>
      <c r="O11" s="223">
        <f>ROUNDUP(H11/-(N11-1),1)</f>
        <v>59.9</v>
      </c>
      <c r="V11" s="242"/>
      <c r="W11" s="214">
        <f t="shared" si="1"/>
        <v>0.47368421052631576</v>
      </c>
      <c r="X11" s="215">
        <f t="shared" si="2"/>
        <v>68.209999999999994</v>
      </c>
      <c r="Z11" s="214">
        <v>0.43</v>
      </c>
      <c r="AA11" s="223">
        <f t="shared" si="3"/>
        <v>62.982999999999997</v>
      </c>
    </row>
    <row r="12" spans="2:36" ht="15.75" customHeight="1" x14ac:dyDescent="0.35">
      <c r="B12" s="55" t="s">
        <v>958</v>
      </c>
      <c r="C12" s="535" t="s">
        <v>932</v>
      </c>
      <c r="D12" s="55" t="s">
        <v>41</v>
      </c>
      <c r="E12" s="55" t="s">
        <v>42</v>
      </c>
      <c r="F12" s="62" t="s">
        <v>40</v>
      </c>
      <c r="H12" s="192">
        <v>37.9</v>
      </c>
      <c r="J12" s="71">
        <f t="shared" ref="J12" si="5">(L12-H12)/L12</f>
        <v>0.5</v>
      </c>
      <c r="K12" s="500">
        <f t="shared" ref="K12" si="6">ROUNDUP(L12/H12,2)</f>
        <v>2</v>
      </c>
      <c r="L12" s="223">
        <v>75.8</v>
      </c>
      <c r="N12" s="214">
        <v>0.4</v>
      </c>
      <c r="O12" s="223">
        <f>ROUNDUP(H12/-(N12-1),1)</f>
        <v>63.2</v>
      </c>
      <c r="R12">
        <v>40.4</v>
      </c>
      <c r="V12" s="242"/>
      <c r="W12" s="214">
        <f t="shared" ref="W12" si="7">(X12-H12)/X12</f>
        <v>0.47368421052631576</v>
      </c>
      <c r="X12" s="215">
        <f t="shared" ref="X12" si="8">(H12*$W$2)</f>
        <v>72.009999999999991</v>
      </c>
      <c r="Z12" s="214">
        <v>0.43</v>
      </c>
      <c r="AA12" s="223">
        <f t="shared" ref="AA12" si="9">ROUNDUP(H12/-(Z12-1),3)</f>
        <v>66.492000000000004</v>
      </c>
    </row>
    <row r="13" spans="2:36" ht="15.75" customHeight="1" x14ac:dyDescent="0.35">
      <c r="B13" s="55" t="s">
        <v>959</v>
      </c>
      <c r="C13" s="535" t="s">
        <v>933</v>
      </c>
      <c r="D13" s="55" t="s">
        <v>785</v>
      </c>
      <c r="E13" s="55" t="s">
        <v>42</v>
      </c>
      <c r="F13" s="62" t="s">
        <v>40</v>
      </c>
      <c r="H13" s="192">
        <v>41.4</v>
      </c>
      <c r="J13" s="71">
        <f t="shared" si="0"/>
        <v>0.5</v>
      </c>
      <c r="K13" s="500">
        <f t="shared" si="4"/>
        <v>2</v>
      </c>
      <c r="L13" s="223">
        <v>82.8</v>
      </c>
      <c r="N13" s="214">
        <v>0.4</v>
      </c>
      <c r="O13" s="223">
        <f>ROUNDUP(H13/-(N13-1),1)</f>
        <v>69</v>
      </c>
      <c r="R13">
        <v>40.4</v>
      </c>
      <c r="V13" s="242"/>
      <c r="W13" s="214">
        <f t="shared" si="1"/>
        <v>0.47368421052631576</v>
      </c>
      <c r="X13" s="215">
        <f t="shared" si="2"/>
        <v>78.66</v>
      </c>
      <c r="Z13" s="214">
        <v>0.43</v>
      </c>
      <c r="AA13" s="223">
        <f t="shared" si="3"/>
        <v>72.632000000000005</v>
      </c>
    </row>
    <row r="14" spans="2:36" ht="15" customHeight="1" x14ac:dyDescent="0.35">
      <c r="C14" s="535"/>
      <c r="H14" s="192"/>
      <c r="J14" s="71"/>
      <c r="K14" s="500"/>
      <c r="L14" s="223"/>
      <c r="N14" s="214"/>
      <c r="O14" s="223"/>
      <c r="V14" s="242"/>
      <c r="W14" s="214"/>
      <c r="X14" s="215"/>
      <c r="Z14" s="214"/>
      <c r="AA14" s="223"/>
    </row>
    <row r="15" spans="2:36" ht="13.5" customHeight="1" x14ac:dyDescent="0.35">
      <c r="C15" s="535"/>
      <c r="D15" s="186"/>
      <c r="H15" s="192"/>
      <c r="J15" s="71"/>
      <c r="K15" s="71"/>
      <c r="L15" s="223"/>
      <c r="N15" s="214"/>
      <c r="O15" s="193"/>
      <c r="V15" s="242"/>
      <c r="W15" s="214"/>
      <c r="X15" s="193"/>
      <c r="Z15" s="214"/>
      <c r="AA15" s="193"/>
    </row>
    <row r="16" spans="2:36" x14ac:dyDescent="0.35">
      <c r="B16" s="78" t="s">
        <v>44</v>
      </c>
      <c r="C16" s="536"/>
      <c r="D16" s="78" t="s">
        <v>45</v>
      </c>
      <c r="E16" s="80" t="s">
        <v>35</v>
      </c>
      <c r="F16" s="79"/>
      <c r="H16" s="192"/>
      <c r="J16" s="71"/>
      <c r="K16" s="71"/>
      <c r="L16" s="223"/>
      <c r="N16" s="214"/>
      <c r="O16" s="193"/>
      <c r="W16" s="214"/>
      <c r="X16" s="193"/>
      <c r="Z16" s="214"/>
      <c r="AA16" s="193"/>
      <c r="AC16" s="306"/>
      <c r="AD16" s="306"/>
      <c r="AE16" s="306"/>
      <c r="AF16" s="306"/>
      <c r="AG16" s="306"/>
    </row>
    <row r="17" spans="2:33" ht="15.75" customHeight="1" x14ac:dyDescent="0.35">
      <c r="C17" s="535" t="s">
        <v>795</v>
      </c>
      <c r="D17" s="55" t="s">
        <v>775</v>
      </c>
      <c r="E17" s="55" t="s">
        <v>46</v>
      </c>
      <c r="F17" s="62" t="s">
        <v>40</v>
      </c>
      <c r="H17" s="192">
        <v>36.82</v>
      </c>
      <c r="J17" s="71">
        <f t="shared" ref="J17" si="10">(L17-H17)/L17</f>
        <v>0.5</v>
      </c>
      <c r="K17" s="500">
        <f t="shared" ref="K17" si="11">ROUNDUP(L17/H17,2)</f>
        <v>2</v>
      </c>
      <c r="L17" s="223">
        <v>73.64</v>
      </c>
      <c r="N17" s="214">
        <v>0.37</v>
      </c>
      <c r="O17" s="223">
        <f t="shared" ref="O17" si="12">ROUNDUP(H17/-(N17-1),1)</f>
        <v>58.5</v>
      </c>
      <c r="W17" s="214">
        <f t="shared" ref="W17" si="13">(X17-H17)/X17</f>
        <v>0.47368421052631576</v>
      </c>
      <c r="X17" s="215">
        <f t="shared" ref="X17" si="14">(H17*$W$2)</f>
        <v>69.957999999999998</v>
      </c>
      <c r="Z17" s="214">
        <v>0.4</v>
      </c>
      <c r="AA17" s="223">
        <f t="shared" ref="AA17" si="15">ROUNDUP(H17/-(Z17-1),3)</f>
        <v>61.366999999999997</v>
      </c>
    </row>
    <row r="18" spans="2:33" ht="15.75" customHeight="1" x14ac:dyDescent="0.35">
      <c r="C18" s="535" t="s">
        <v>796</v>
      </c>
      <c r="D18" s="55" t="s">
        <v>47</v>
      </c>
      <c r="E18" s="55" t="s">
        <v>48</v>
      </c>
      <c r="F18" s="62" t="s">
        <v>40</v>
      </c>
      <c r="H18" s="192">
        <v>39.31</v>
      </c>
      <c r="J18" s="71">
        <f t="shared" ref="J18:J19" si="16">(L18-H18)/L18</f>
        <v>0.5</v>
      </c>
      <c r="K18" s="500">
        <f t="shared" ref="K18:K19" si="17">ROUNDUP(L18/H18,2)</f>
        <v>2</v>
      </c>
      <c r="L18" s="223">
        <v>78.62</v>
      </c>
      <c r="N18" s="214">
        <v>0.37</v>
      </c>
      <c r="O18" s="223">
        <f t="shared" ref="O18:O19" si="18">ROUNDUP(H18/-(N18-1),1)</f>
        <v>62.4</v>
      </c>
      <c r="W18" s="214">
        <f t="shared" ref="W18:W19" si="19">(X18-H18)/X18</f>
        <v>0.47368421052631582</v>
      </c>
      <c r="X18" s="215">
        <f t="shared" ref="X18:X19" si="20">(H18*$W$2)</f>
        <v>74.689000000000007</v>
      </c>
      <c r="Z18" s="214">
        <v>0.4</v>
      </c>
      <c r="AA18" s="223">
        <f t="shared" ref="AA18:AA19" si="21">ROUNDUP(H18/-(Z18-1),3)</f>
        <v>65.51700000000001</v>
      </c>
      <c r="AC18" s="55">
        <v>54.51</v>
      </c>
      <c r="AE18" s="55">
        <v>42.78</v>
      </c>
      <c r="AF18" s="55">
        <f>0.8*79.55</f>
        <v>63.64</v>
      </c>
      <c r="AG18" s="55">
        <v>37.979649999999999</v>
      </c>
    </row>
    <row r="19" spans="2:33" ht="15.75" customHeight="1" x14ac:dyDescent="0.35">
      <c r="C19" s="535" t="s">
        <v>797</v>
      </c>
      <c r="D19" s="55" t="s">
        <v>776</v>
      </c>
      <c r="E19" s="55" t="s">
        <v>50</v>
      </c>
      <c r="F19" s="62" t="s">
        <v>40</v>
      </c>
      <c r="H19" s="192">
        <v>25.75</v>
      </c>
      <c r="J19" s="71">
        <f t="shared" si="16"/>
        <v>0.5</v>
      </c>
      <c r="K19" s="500">
        <f t="shared" si="17"/>
        <v>2</v>
      </c>
      <c r="L19" s="223">
        <v>51.5</v>
      </c>
      <c r="N19" s="214">
        <v>0.37</v>
      </c>
      <c r="O19" s="223">
        <f t="shared" si="18"/>
        <v>40.9</v>
      </c>
      <c r="W19" s="214">
        <f t="shared" si="19"/>
        <v>0.47368421052631576</v>
      </c>
      <c r="X19" s="215">
        <f t="shared" si="20"/>
        <v>48.924999999999997</v>
      </c>
      <c r="Z19" s="214">
        <v>0.4</v>
      </c>
      <c r="AA19" s="223">
        <f t="shared" si="21"/>
        <v>42.916999999999994</v>
      </c>
    </row>
    <row r="20" spans="2:33" ht="15.75" customHeight="1" x14ac:dyDescent="0.35">
      <c r="C20" s="535" t="s">
        <v>798</v>
      </c>
      <c r="D20" s="55" t="s">
        <v>49</v>
      </c>
      <c r="E20" s="55" t="s">
        <v>50</v>
      </c>
      <c r="F20" s="62" t="s">
        <v>40</v>
      </c>
      <c r="H20" s="192">
        <v>28.95</v>
      </c>
      <c r="J20" s="71">
        <f t="shared" ref="J20:J21" si="22">(L20-H20)/L20</f>
        <v>0.5</v>
      </c>
      <c r="K20" s="500">
        <f t="shared" ref="K20:K21" si="23">ROUNDUP(L20/H20,2)</f>
        <v>2</v>
      </c>
      <c r="L20" s="223">
        <v>57.9</v>
      </c>
      <c r="N20" s="214">
        <v>0.37</v>
      </c>
      <c r="O20" s="223">
        <f t="shared" ref="O20:O21" si="24">ROUNDUP(H20/-(N20-1),1)</f>
        <v>46</v>
      </c>
      <c r="W20" s="214">
        <f t="shared" ref="W20:W21" si="25">(X20-H20)/X20</f>
        <v>0.47368421052631576</v>
      </c>
      <c r="X20" s="215">
        <f t="shared" ref="X20:X21" si="26">(H20*$W$2)</f>
        <v>55.004999999999995</v>
      </c>
      <c r="Z20" s="214">
        <v>0.4</v>
      </c>
      <c r="AA20" s="223">
        <f t="shared" ref="AA20:AA21" si="27">ROUNDUP(H20/-(Z20-1),3)</f>
        <v>48.25</v>
      </c>
    </row>
    <row r="21" spans="2:33" ht="15.75" customHeight="1" x14ac:dyDescent="0.35">
      <c r="C21" s="535" t="s">
        <v>799</v>
      </c>
      <c r="D21" s="55" t="s">
        <v>51</v>
      </c>
      <c r="E21" s="55" t="s">
        <v>50</v>
      </c>
      <c r="F21" s="62" t="s">
        <v>40</v>
      </c>
      <c r="H21" s="192">
        <v>31.75</v>
      </c>
      <c r="J21" s="71">
        <f t="shared" si="22"/>
        <v>0.5</v>
      </c>
      <c r="K21" s="500">
        <f t="shared" si="23"/>
        <v>2</v>
      </c>
      <c r="L21" s="223">
        <v>63.5</v>
      </c>
      <c r="N21" s="214">
        <v>0.37</v>
      </c>
      <c r="O21" s="223">
        <f t="shared" si="24"/>
        <v>50.4</v>
      </c>
      <c r="W21" s="214">
        <f t="shared" si="25"/>
        <v>0.47368421052631576</v>
      </c>
      <c r="X21" s="215">
        <f t="shared" si="26"/>
        <v>60.324999999999996</v>
      </c>
      <c r="Z21" s="214">
        <v>0.4</v>
      </c>
      <c r="AA21" s="223">
        <f t="shared" si="27"/>
        <v>52.916999999999994</v>
      </c>
    </row>
    <row r="22" spans="2:33" ht="15.75" customHeight="1" x14ac:dyDescent="0.35">
      <c r="C22" s="537"/>
      <c r="H22" s="192"/>
      <c r="J22" s="71"/>
      <c r="K22" s="500"/>
      <c r="L22" s="223"/>
      <c r="N22" s="214"/>
      <c r="O22" s="223"/>
      <c r="W22" s="214"/>
      <c r="X22" s="215"/>
      <c r="Z22" s="214"/>
      <c r="AA22" s="223"/>
    </row>
    <row r="23" spans="2:33" ht="15.75" customHeight="1" x14ac:dyDescent="0.35">
      <c r="C23" s="537"/>
      <c r="D23" s="64" t="s">
        <v>1010</v>
      </c>
      <c r="E23" s="64"/>
      <c r="F23" s="66"/>
      <c r="H23" s="192"/>
      <c r="J23" s="71"/>
      <c r="K23" s="71"/>
      <c r="L23" s="223"/>
      <c r="N23" s="214"/>
      <c r="O23" s="223"/>
      <c r="W23" s="214"/>
      <c r="X23" s="193"/>
      <c r="Z23" s="214"/>
      <c r="AA23" s="223"/>
    </row>
    <row r="24" spans="2:33" s="229" customFormat="1" ht="15.75" customHeight="1" x14ac:dyDescent="0.3">
      <c r="C24" s="538" t="s">
        <v>790</v>
      </c>
      <c r="D24" s="229" t="s">
        <v>52</v>
      </c>
      <c r="F24" s="225" t="s">
        <v>53</v>
      </c>
      <c r="G24" s="224"/>
      <c r="H24" s="505">
        <v>32</v>
      </c>
      <c r="I24" s="506"/>
      <c r="J24" s="507">
        <f t="shared" ref="J24:J30" si="28">(L24-H24)/L24</f>
        <v>0.5</v>
      </c>
      <c r="K24" s="508">
        <f t="shared" ref="K24:K26" si="29">ROUNDUP(L24/H24,2)</f>
        <v>2</v>
      </c>
      <c r="L24" s="509">
        <v>64</v>
      </c>
      <c r="M24" s="224"/>
      <c r="N24" s="510">
        <v>0.35</v>
      </c>
      <c r="O24" s="509">
        <f t="shared" ref="O24:O30" si="30">ROUNDUP(H24/-(N24-1),1)</f>
        <v>49.300000000000004</v>
      </c>
      <c r="P24" s="506"/>
      <c r="Q24" s="506"/>
      <c r="R24" s="506"/>
      <c r="S24" s="506"/>
      <c r="T24" s="506"/>
      <c r="U24" s="506"/>
      <c r="W24" s="510">
        <f>(X24-H24)/X24</f>
        <v>0.47368421052631576</v>
      </c>
      <c r="X24" s="511">
        <f>(H24*$W$2)</f>
        <v>60.8</v>
      </c>
      <c r="Z24" s="510">
        <f>N24+3/100</f>
        <v>0.38</v>
      </c>
      <c r="AA24" s="509">
        <f t="shared" ref="AA24:AA30" si="31">ROUNDUP(H24/-(Z24-1),3)</f>
        <v>51.613</v>
      </c>
    </row>
    <row r="25" spans="2:33" s="229" customFormat="1" ht="13.5" customHeight="1" x14ac:dyDescent="0.3">
      <c r="C25" s="538" t="s">
        <v>791</v>
      </c>
      <c r="D25" s="229" t="s">
        <v>54</v>
      </c>
      <c r="F25" s="225" t="s">
        <v>53</v>
      </c>
      <c r="G25" s="224"/>
      <c r="H25" s="505">
        <v>5</v>
      </c>
      <c r="I25" s="506"/>
      <c r="J25" s="507">
        <f t="shared" si="28"/>
        <v>0.5</v>
      </c>
      <c r="K25" s="508">
        <f t="shared" si="29"/>
        <v>2</v>
      </c>
      <c r="L25" s="509">
        <v>10</v>
      </c>
      <c r="M25" s="512"/>
      <c r="N25" s="507">
        <v>0.35</v>
      </c>
      <c r="O25" s="509">
        <f t="shared" si="30"/>
        <v>7.6999999999999993</v>
      </c>
      <c r="P25" s="506"/>
      <c r="Q25" s="506"/>
      <c r="R25" s="506"/>
      <c r="S25" s="506"/>
      <c r="T25" s="506"/>
      <c r="U25" s="506"/>
      <c r="W25" s="510">
        <f>(X25-H25)/X25</f>
        <v>0.47368421052631576</v>
      </c>
      <c r="X25" s="511">
        <f>(H25*$W$2)</f>
        <v>9.5</v>
      </c>
      <c r="Z25" s="510">
        <f>N25+3/100</f>
        <v>0.38</v>
      </c>
      <c r="AA25" s="509">
        <f t="shared" si="31"/>
        <v>8.0649999999999995</v>
      </c>
      <c r="AC25" s="513"/>
      <c r="AD25" s="513"/>
      <c r="AE25" s="513"/>
      <c r="AF25" s="513"/>
      <c r="AG25" s="513"/>
    </row>
    <row r="26" spans="2:33" s="229" customFormat="1" ht="16.5" x14ac:dyDescent="0.3">
      <c r="C26" s="538" t="s">
        <v>792</v>
      </c>
      <c r="D26" s="229" t="s">
        <v>55</v>
      </c>
      <c r="F26" s="225" t="s">
        <v>53</v>
      </c>
      <c r="G26" s="224"/>
      <c r="H26" s="505">
        <v>0.8</v>
      </c>
      <c r="I26" s="506"/>
      <c r="J26" s="507">
        <f t="shared" si="28"/>
        <v>0.5</v>
      </c>
      <c r="K26" s="508">
        <f t="shared" si="29"/>
        <v>2</v>
      </c>
      <c r="L26" s="509">
        <v>1.6</v>
      </c>
      <c r="M26" s="512"/>
      <c r="N26" s="507">
        <v>0.35</v>
      </c>
      <c r="O26" s="509">
        <f t="shared" si="30"/>
        <v>1.3</v>
      </c>
      <c r="P26" s="506"/>
      <c r="Q26" s="506"/>
      <c r="R26" s="506"/>
      <c r="S26" s="506"/>
      <c r="T26" s="506"/>
      <c r="U26" s="506"/>
      <c r="W26" s="510">
        <f>(X26-H26)/X26</f>
        <v>0.47368421052631576</v>
      </c>
      <c r="X26" s="511">
        <f>(H26*$W$2)</f>
        <v>1.52</v>
      </c>
      <c r="Z26" s="510">
        <f>N26+3/100</f>
        <v>0.38</v>
      </c>
      <c r="AA26" s="509">
        <f t="shared" si="31"/>
        <v>1.2909999999999999</v>
      </c>
      <c r="AC26" s="513"/>
      <c r="AD26" s="513"/>
      <c r="AE26" s="513"/>
      <c r="AF26" s="513"/>
      <c r="AG26" s="513"/>
    </row>
    <row r="27" spans="2:33" ht="15.75" customHeight="1" x14ac:dyDescent="0.35">
      <c r="B27" s="229"/>
      <c r="C27" s="538" t="s">
        <v>800</v>
      </c>
      <c r="D27" s="55" t="s">
        <v>786</v>
      </c>
      <c r="F27" s="225" t="s">
        <v>37</v>
      </c>
      <c r="H27" s="58">
        <v>30</v>
      </c>
      <c r="J27" s="507">
        <f t="shared" si="28"/>
        <v>0.5</v>
      </c>
      <c r="L27" s="305">
        <f>H27*2</f>
        <v>60</v>
      </c>
      <c r="M27" s="502"/>
      <c r="N27" s="507">
        <v>0.4</v>
      </c>
      <c r="O27" s="509">
        <f t="shared" si="30"/>
        <v>50</v>
      </c>
      <c r="V27" s="504"/>
      <c r="Z27" s="214">
        <v>0.43</v>
      </c>
      <c r="AA27" s="509">
        <f t="shared" si="31"/>
        <v>52.631999999999998</v>
      </c>
      <c r="AB27" s="503"/>
      <c r="AC27" s="306"/>
      <c r="AD27" s="306"/>
      <c r="AE27" s="306"/>
      <c r="AF27" s="306"/>
      <c r="AG27" s="306"/>
    </row>
    <row r="28" spans="2:33" ht="15.75" customHeight="1" x14ac:dyDescent="0.35">
      <c r="B28" s="229"/>
      <c r="C28" s="538" t="s">
        <v>802</v>
      </c>
      <c r="D28" s="55" t="s">
        <v>787</v>
      </c>
      <c r="F28" s="225" t="s">
        <v>37</v>
      </c>
      <c r="H28" s="58">
        <v>38</v>
      </c>
      <c r="J28" s="507">
        <f t="shared" si="28"/>
        <v>0.5</v>
      </c>
      <c r="L28" s="305">
        <f>H28*2</f>
        <v>76</v>
      </c>
      <c r="M28" s="502"/>
      <c r="N28" s="507">
        <v>0.4</v>
      </c>
      <c r="O28" s="509">
        <f t="shared" si="30"/>
        <v>63.4</v>
      </c>
      <c r="V28" s="504"/>
      <c r="Z28" s="214">
        <v>0.43</v>
      </c>
      <c r="AA28" s="509">
        <f t="shared" si="31"/>
        <v>66.667000000000002</v>
      </c>
      <c r="AB28" s="503"/>
      <c r="AC28" s="306"/>
      <c r="AD28" s="306"/>
      <c r="AE28" s="306"/>
      <c r="AF28" s="306"/>
      <c r="AG28" s="306"/>
    </row>
    <row r="29" spans="2:33" ht="15.75" customHeight="1" x14ac:dyDescent="0.35">
      <c r="B29" s="229"/>
      <c r="C29" s="538" t="s">
        <v>801</v>
      </c>
      <c r="D29" s="55" t="s">
        <v>788</v>
      </c>
      <c r="F29" s="225" t="s">
        <v>37</v>
      </c>
      <c r="H29" s="58">
        <v>34</v>
      </c>
      <c r="J29" s="507">
        <f t="shared" si="28"/>
        <v>0.5</v>
      </c>
      <c r="L29" s="305">
        <f>H29*2</f>
        <v>68</v>
      </c>
      <c r="M29" s="502"/>
      <c r="N29" s="507">
        <v>0.4</v>
      </c>
      <c r="O29" s="509">
        <f t="shared" si="30"/>
        <v>56.7</v>
      </c>
      <c r="V29" s="504"/>
      <c r="Z29" s="214">
        <v>0.43</v>
      </c>
      <c r="AA29" s="509">
        <f t="shared" si="31"/>
        <v>59.65</v>
      </c>
      <c r="AB29" s="503"/>
      <c r="AC29" s="306"/>
      <c r="AD29" s="306"/>
      <c r="AE29" s="306"/>
      <c r="AF29" s="306"/>
      <c r="AG29" s="306"/>
    </row>
    <row r="30" spans="2:33" ht="16.5" customHeight="1" x14ac:dyDescent="0.35">
      <c r="B30" s="229"/>
      <c r="C30" s="538" t="s">
        <v>803</v>
      </c>
      <c r="D30" s="55" t="s">
        <v>789</v>
      </c>
      <c r="F30" s="225" t="s">
        <v>37</v>
      </c>
      <c r="H30" s="192">
        <v>44</v>
      </c>
      <c r="J30" s="507">
        <f t="shared" si="28"/>
        <v>0.5</v>
      </c>
      <c r="K30" s="71"/>
      <c r="L30" s="305">
        <f>H30*2</f>
        <v>88</v>
      </c>
      <c r="M30" s="502"/>
      <c r="N30" s="507">
        <v>0.4</v>
      </c>
      <c r="O30" s="509">
        <f t="shared" si="30"/>
        <v>73.399999999999991</v>
      </c>
      <c r="V30" s="504"/>
      <c r="W30" s="71"/>
      <c r="X30" s="193"/>
      <c r="Z30" s="214">
        <v>0.43</v>
      </c>
      <c r="AA30" s="509">
        <f t="shared" si="31"/>
        <v>77.192999999999998</v>
      </c>
      <c r="AC30" s="306"/>
      <c r="AD30" s="306"/>
      <c r="AE30" s="306"/>
      <c r="AF30" s="306"/>
      <c r="AG30" s="306"/>
    </row>
    <row r="31" spans="2:33" ht="15" customHeight="1" x14ac:dyDescent="0.35">
      <c r="C31" s="535"/>
      <c r="H31" s="192"/>
      <c r="J31" s="71"/>
      <c r="K31" s="71"/>
      <c r="L31" s="223"/>
      <c r="N31" s="214"/>
      <c r="O31" s="223"/>
      <c r="W31" s="214"/>
      <c r="X31" s="193"/>
      <c r="Z31" s="214"/>
      <c r="AA31" s="223"/>
      <c r="AC31" s="306"/>
      <c r="AD31" s="306"/>
      <c r="AE31" s="306"/>
      <c r="AF31" s="306"/>
      <c r="AG31" s="306"/>
    </row>
    <row r="32" spans="2:33" ht="16.5" customHeight="1" x14ac:dyDescent="0.35">
      <c r="L32" s="223"/>
      <c r="N32" s="214"/>
      <c r="O32" s="223"/>
      <c r="Z32" s="214"/>
      <c r="AA32" s="223"/>
      <c r="AC32" s="306"/>
      <c r="AD32" s="306"/>
      <c r="AE32" s="306"/>
      <c r="AF32" s="306"/>
      <c r="AG32" s="306"/>
    </row>
    <row r="33" spans="2:33" x14ac:dyDescent="0.35">
      <c r="C33" s="537"/>
      <c r="D33" s="64" t="s">
        <v>1011</v>
      </c>
      <c r="E33" s="64"/>
      <c r="F33" s="66"/>
      <c r="L33" s="223"/>
      <c r="N33" s="214"/>
      <c r="O33" s="223"/>
      <c r="Z33" s="214"/>
      <c r="AA33" s="223"/>
      <c r="AC33" s="306">
        <v>531.55999999999995</v>
      </c>
      <c r="AD33" s="306"/>
      <c r="AE33" s="306"/>
      <c r="AF33" s="306"/>
      <c r="AG33" s="306"/>
    </row>
    <row r="34" spans="2:33" ht="16.5" x14ac:dyDescent="0.35">
      <c r="C34" s="538" t="s">
        <v>790</v>
      </c>
      <c r="D34" s="229" t="s">
        <v>52</v>
      </c>
      <c r="E34" s="229"/>
      <c r="F34" s="225" t="s">
        <v>53</v>
      </c>
      <c r="H34" s="505">
        <v>32</v>
      </c>
      <c r="J34" s="507">
        <f t="shared" ref="J34:J40" si="32">(L34-H34)/L34</f>
        <v>0.5</v>
      </c>
      <c r="L34" s="509">
        <v>64</v>
      </c>
      <c r="N34" s="510">
        <v>0.35</v>
      </c>
      <c r="O34" s="509">
        <f t="shared" ref="O34:O40" si="33">ROUNDUP(H34/-(N34-1),1)</f>
        <v>49.300000000000004</v>
      </c>
      <c r="Z34" s="510">
        <f>N34+3/100</f>
        <v>0.38</v>
      </c>
      <c r="AA34" s="509">
        <f t="shared" ref="AA34:AA40" si="34">ROUNDUP(H34/-(Z34-1),3)</f>
        <v>51.613</v>
      </c>
      <c r="AC34" s="306"/>
      <c r="AD34" s="306"/>
      <c r="AE34" s="306"/>
      <c r="AF34" s="306"/>
      <c r="AG34" s="306"/>
    </row>
    <row r="35" spans="2:33" ht="15.75" customHeight="1" x14ac:dyDescent="0.35">
      <c r="C35" s="538" t="s">
        <v>791</v>
      </c>
      <c r="D35" s="229" t="s">
        <v>54</v>
      </c>
      <c r="E35" s="229"/>
      <c r="F35" s="225" t="s">
        <v>53</v>
      </c>
      <c r="H35" s="505">
        <v>5</v>
      </c>
      <c r="J35" s="507">
        <f t="shared" si="32"/>
        <v>0.5</v>
      </c>
      <c r="L35" s="509">
        <v>10</v>
      </c>
      <c r="N35" s="510">
        <v>0.35</v>
      </c>
      <c r="O35" s="509">
        <f t="shared" si="33"/>
        <v>7.6999999999999993</v>
      </c>
      <c r="Z35" s="510">
        <f>N35+3/100</f>
        <v>0.38</v>
      </c>
      <c r="AA35" s="509">
        <f t="shared" si="34"/>
        <v>8.0649999999999995</v>
      </c>
      <c r="AC35" s="306"/>
      <c r="AD35" s="306"/>
      <c r="AE35" s="306"/>
      <c r="AF35" s="306"/>
      <c r="AG35" s="306"/>
    </row>
    <row r="36" spans="2:33" ht="15.75" customHeight="1" x14ac:dyDescent="0.35">
      <c r="C36" s="538" t="s">
        <v>792</v>
      </c>
      <c r="D36" s="229" t="s">
        <v>55</v>
      </c>
      <c r="E36" s="229"/>
      <c r="F36" s="225" t="s">
        <v>53</v>
      </c>
      <c r="H36" s="505">
        <v>0.8</v>
      </c>
      <c r="J36" s="507">
        <f t="shared" si="32"/>
        <v>0.5</v>
      </c>
      <c r="L36" s="509">
        <v>1.6</v>
      </c>
      <c r="N36" s="510">
        <v>0.35</v>
      </c>
      <c r="O36" s="509">
        <f t="shared" si="33"/>
        <v>1.3</v>
      </c>
      <c r="Z36" s="510">
        <f>N36+3/100</f>
        <v>0.38</v>
      </c>
      <c r="AA36" s="509">
        <f t="shared" si="34"/>
        <v>1.2909999999999999</v>
      </c>
      <c r="AC36" s="306"/>
      <c r="AD36" s="306"/>
      <c r="AE36" s="306"/>
      <c r="AF36" s="306"/>
      <c r="AG36" s="306"/>
    </row>
    <row r="37" spans="2:33" ht="15.75" customHeight="1" x14ac:dyDescent="0.35">
      <c r="C37" s="538" t="s">
        <v>800</v>
      </c>
      <c r="D37" s="55" t="s">
        <v>786</v>
      </c>
      <c r="F37" s="225" t="s">
        <v>37</v>
      </c>
      <c r="H37" s="58">
        <v>30</v>
      </c>
      <c r="J37" s="507">
        <f t="shared" si="32"/>
        <v>0.5</v>
      </c>
      <c r="L37" s="223">
        <f>H37*2</f>
        <v>60</v>
      </c>
      <c r="N37" s="510">
        <v>0.4</v>
      </c>
      <c r="O37" s="509">
        <f t="shared" si="33"/>
        <v>50</v>
      </c>
      <c r="Z37" s="214">
        <v>0.43</v>
      </c>
      <c r="AA37" s="509">
        <f t="shared" si="34"/>
        <v>52.631999999999998</v>
      </c>
      <c r="AC37" s="306"/>
      <c r="AD37" s="306"/>
      <c r="AE37" s="306"/>
      <c r="AF37" s="306"/>
      <c r="AG37" s="306"/>
    </row>
    <row r="38" spans="2:33" ht="15.75" customHeight="1" x14ac:dyDescent="0.35">
      <c r="C38" s="538" t="s">
        <v>802</v>
      </c>
      <c r="D38" s="55" t="s">
        <v>787</v>
      </c>
      <c r="F38" s="225" t="s">
        <v>37</v>
      </c>
      <c r="H38" s="58">
        <v>38</v>
      </c>
      <c r="J38" s="507">
        <f t="shared" si="32"/>
        <v>0.5</v>
      </c>
      <c r="L38" s="223">
        <f>H38*2</f>
        <v>76</v>
      </c>
      <c r="N38" s="510">
        <v>0.4</v>
      </c>
      <c r="O38" s="509">
        <f t="shared" si="33"/>
        <v>63.4</v>
      </c>
      <c r="Z38" s="214">
        <v>0.43</v>
      </c>
      <c r="AA38" s="509">
        <f t="shared" si="34"/>
        <v>66.667000000000002</v>
      </c>
      <c r="AC38" s="306"/>
      <c r="AD38" s="306"/>
      <c r="AE38" s="306"/>
      <c r="AF38" s="306"/>
      <c r="AG38" s="306"/>
    </row>
    <row r="39" spans="2:33" ht="15.75" customHeight="1" x14ac:dyDescent="0.35">
      <c r="C39" s="538" t="s">
        <v>801</v>
      </c>
      <c r="D39" s="55" t="s">
        <v>788</v>
      </c>
      <c r="F39" s="225" t="s">
        <v>37</v>
      </c>
      <c r="H39" s="58">
        <v>34</v>
      </c>
      <c r="J39" s="507">
        <f t="shared" si="32"/>
        <v>0.5</v>
      </c>
      <c r="L39" s="223">
        <f>H39*2</f>
        <v>68</v>
      </c>
      <c r="N39" s="510">
        <v>0.4</v>
      </c>
      <c r="O39" s="509">
        <f t="shared" si="33"/>
        <v>56.7</v>
      </c>
      <c r="Z39" s="214">
        <v>0.43</v>
      </c>
      <c r="AA39" s="509">
        <f t="shared" si="34"/>
        <v>59.65</v>
      </c>
      <c r="AC39" s="306"/>
      <c r="AD39" s="306"/>
      <c r="AE39" s="306"/>
      <c r="AF39" s="306"/>
      <c r="AG39" s="306"/>
    </row>
    <row r="40" spans="2:33" ht="16.5" x14ac:dyDescent="0.35">
      <c r="C40" s="538" t="s">
        <v>803</v>
      </c>
      <c r="D40" s="55" t="s">
        <v>789</v>
      </c>
      <c r="F40" s="225" t="s">
        <v>37</v>
      </c>
      <c r="H40" s="192">
        <v>44</v>
      </c>
      <c r="J40" s="507">
        <f t="shared" si="32"/>
        <v>0.5</v>
      </c>
      <c r="L40" s="223">
        <f>H40*2</f>
        <v>88</v>
      </c>
      <c r="N40" s="510">
        <v>0.4</v>
      </c>
      <c r="O40" s="509">
        <f t="shared" si="33"/>
        <v>73.399999999999991</v>
      </c>
      <c r="Z40" s="214">
        <v>0.43</v>
      </c>
      <c r="AA40" s="509">
        <f t="shared" si="34"/>
        <v>77.192999999999998</v>
      </c>
      <c r="AC40" s="306"/>
      <c r="AD40" s="306"/>
      <c r="AE40" s="306"/>
      <c r="AF40" s="306">
        <f>0.8*286.3</f>
        <v>229.04000000000002</v>
      </c>
      <c r="AG40" s="306"/>
    </row>
    <row r="41" spans="2:33" ht="18" customHeight="1" x14ac:dyDescent="0.35">
      <c r="L41" s="223"/>
      <c r="N41" s="214"/>
      <c r="O41" s="193"/>
      <c r="Z41" s="214"/>
      <c r="AA41" s="193"/>
      <c r="AC41" s="306"/>
      <c r="AD41" s="306"/>
      <c r="AE41" s="306"/>
      <c r="AF41" s="306"/>
      <c r="AG41" s="306"/>
    </row>
    <row r="42" spans="2:33" ht="18" customHeight="1" x14ac:dyDescent="0.35">
      <c r="L42" s="223"/>
      <c r="N42" s="214"/>
      <c r="O42" s="193"/>
      <c r="Z42" s="214"/>
      <c r="AA42" s="193"/>
      <c r="AC42" s="306"/>
      <c r="AD42" s="306"/>
      <c r="AE42" s="306"/>
      <c r="AF42" s="306"/>
      <c r="AG42" s="306"/>
    </row>
    <row r="43" spans="2:33" ht="15" customHeight="1" x14ac:dyDescent="0.35">
      <c r="L43" s="223"/>
      <c r="N43" s="214"/>
      <c r="O43" s="193"/>
      <c r="Z43" s="214"/>
      <c r="AA43" s="193"/>
      <c r="AC43" s="306"/>
      <c r="AD43" s="306"/>
      <c r="AE43" s="306"/>
      <c r="AF43" s="306"/>
      <c r="AG43" s="306"/>
    </row>
    <row r="44" spans="2:33" ht="16.5" customHeight="1" x14ac:dyDescent="0.35">
      <c r="B44" s="78" t="s">
        <v>56</v>
      </c>
      <c r="C44" s="536"/>
      <c r="D44" s="78" t="s">
        <v>57</v>
      </c>
      <c r="E44" s="78"/>
      <c r="F44" s="79"/>
      <c r="H44" s="192"/>
      <c r="J44" s="71"/>
      <c r="K44" s="71"/>
      <c r="L44" s="223"/>
      <c r="N44" s="214"/>
      <c r="O44" s="193"/>
      <c r="W44" s="214"/>
      <c r="X44" s="193"/>
      <c r="Z44" s="214"/>
      <c r="AA44" s="193"/>
      <c r="AC44" s="306"/>
      <c r="AD44" s="306"/>
      <c r="AE44" s="306"/>
      <c r="AF44" s="306"/>
      <c r="AG44" s="306"/>
    </row>
    <row r="45" spans="2:33" ht="16.5" customHeight="1" x14ac:dyDescent="0.35">
      <c r="B45" s="55" t="s">
        <v>960</v>
      </c>
      <c r="C45" s="535" t="s">
        <v>804</v>
      </c>
      <c r="D45" s="55" t="s">
        <v>58</v>
      </c>
      <c r="F45" s="62" t="s">
        <v>40</v>
      </c>
      <c r="H45" s="192">
        <v>34.83</v>
      </c>
      <c r="J45" s="71">
        <f t="shared" ref="J45:J50" si="35">(L45-H45)/L45</f>
        <v>0.49521739130434783</v>
      </c>
      <c r="K45" s="221">
        <f t="shared" ref="K45:K50" si="36">ROUNDUP(L45/H45,2)</f>
        <v>1.99</v>
      </c>
      <c r="L45" s="223">
        <v>69</v>
      </c>
      <c r="N45" s="214">
        <v>0.45</v>
      </c>
      <c r="O45" s="215">
        <f t="shared" ref="O45:O50" si="37">ROUNDUP(H45/-(N45-1),1)</f>
        <v>63.4</v>
      </c>
      <c r="W45" s="214">
        <f t="shared" ref="W45:W50" si="38">(X45-H45)/X45</f>
        <v>0.47368421052631576</v>
      </c>
      <c r="X45" s="215">
        <f t="shared" ref="X45:X50" si="39">(H45*$W$2)</f>
        <v>66.176999999999992</v>
      </c>
      <c r="Z45" s="214">
        <f t="shared" ref="Z45:Z50" si="40">N45+3/100</f>
        <v>0.48</v>
      </c>
      <c r="AA45" s="223">
        <f t="shared" ref="AA45:AA50" si="41">ROUNDUP(H45/-(Z45-1),3)</f>
        <v>66.981000000000009</v>
      </c>
      <c r="AC45" s="306"/>
      <c r="AD45" s="306"/>
      <c r="AE45" s="306"/>
      <c r="AF45" s="306"/>
      <c r="AG45" s="306"/>
    </row>
    <row r="46" spans="2:33" ht="15.75" customHeight="1" x14ac:dyDescent="0.35">
      <c r="B46" s="55" t="s">
        <v>961</v>
      </c>
      <c r="C46" s="535" t="s">
        <v>805</v>
      </c>
      <c r="D46" s="67" t="s">
        <v>59</v>
      </c>
      <c r="E46" s="67"/>
      <c r="F46" s="62" t="s">
        <v>60</v>
      </c>
      <c r="H46" s="192">
        <v>1.9</v>
      </c>
      <c r="J46" s="71">
        <f t="shared" si="35"/>
        <v>0.5</v>
      </c>
      <c r="K46" s="221">
        <f t="shared" si="36"/>
        <v>2</v>
      </c>
      <c r="L46" s="223">
        <v>3.8</v>
      </c>
      <c r="N46" s="214">
        <v>0.38</v>
      </c>
      <c r="O46" s="215">
        <f t="shared" si="37"/>
        <v>3.1</v>
      </c>
      <c r="W46" s="214">
        <f t="shared" si="38"/>
        <v>0.47368421052631582</v>
      </c>
      <c r="X46" s="215">
        <f t="shared" si="39"/>
        <v>3.61</v>
      </c>
      <c r="Z46" s="214">
        <f t="shared" si="40"/>
        <v>0.41000000000000003</v>
      </c>
      <c r="AA46" s="223">
        <f t="shared" si="41"/>
        <v>3.2210000000000001</v>
      </c>
      <c r="AC46" s="306"/>
      <c r="AD46" s="306"/>
      <c r="AE46" s="306"/>
      <c r="AF46" s="306"/>
      <c r="AG46" s="306"/>
    </row>
    <row r="47" spans="2:33" ht="15.75" customHeight="1" x14ac:dyDescent="0.35">
      <c r="B47" s="55" t="s">
        <v>962</v>
      </c>
      <c r="C47" s="535" t="s">
        <v>806</v>
      </c>
      <c r="D47" s="67" t="s">
        <v>61</v>
      </c>
      <c r="E47" s="67"/>
      <c r="F47" s="62" t="s">
        <v>60</v>
      </c>
      <c r="H47" s="192">
        <v>9.8864000000000001</v>
      </c>
      <c r="J47" s="71">
        <f t="shared" si="35"/>
        <v>0.49559183673469392</v>
      </c>
      <c r="K47" s="221">
        <f t="shared" si="36"/>
        <v>1.99</v>
      </c>
      <c r="L47" s="223">
        <v>19.600000000000001</v>
      </c>
      <c r="N47" s="214">
        <v>0.31</v>
      </c>
      <c r="O47" s="215">
        <f t="shared" si="37"/>
        <v>14.4</v>
      </c>
      <c r="W47" s="214">
        <f t="shared" si="38"/>
        <v>0.47368421052631576</v>
      </c>
      <c r="X47" s="215">
        <f t="shared" si="39"/>
        <v>18.78416</v>
      </c>
      <c r="Z47" s="214">
        <f t="shared" si="40"/>
        <v>0.33999999999999997</v>
      </c>
      <c r="AA47" s="223">
        <f t="shared" si="41"/>
        <v>14.979999999999999</v>
      </c>
      <c r="AC47" s="306"/>
      <c r="AD47" s="306"/>
      <c r="AE47" s="307"/>
      <c r="AF47" s="306"/>
      <c r="AG47" s="306"/>
    </row>
    <row r="48" spans="2:33" ht="15.75" customHeight="1" x14ac:dyDescent="0.35">
      <c r="B48" s="55" t="s">
        <v>963</v>
      </c>
      <c r="C48" s="535" t="s">
        <v>807</v>
      </c>
      <c r="D48" s="67" t="s">
        <v>62</v>
      </c>
      <c r="E48" s="67"/>
      <c r="F48" s="62" t="s">
        <v>60</v>
      </c>
      <c r="H48" s="192">
        <v>1.1475</v>
      </c>
      <c r="J48" s="71">
        <f t="shared" si="35"/>
        <v>0.50108695652173907</v>
      </c>
      <c r="K48" s="221">
        <f t="shared" si="36"/>
        <v>2.0099999999999998</v>
      </c>
      <c r="L48" s="223">
        <v>2.2999999999999998</v>
      </c>
      <c r="N48" s="214">
        <v>0.48</v>
      </c>
      <c r="O48" s="215">
        <f t="shared" si="37"/>
        <v>2.3000000000000003</v>
      </c>
      <c r="W48" s="214">
        <f t="shared" si="38"/>
        <v>0.47368421052631582</v>
      </c>
      <c r="X48" s="215">
        <f t="shared" si="39"/>
        <v>2.18025</v>
      </c>
      <c r="Z48" s="214">
        <f t="shared" si="40"/>
        <v>0.51</v>
      </c>
      <c r="AA48" s="223">
        <f t="shared" si="41"/>
        <v>2.3420000000000001</v>
      </c>
      <c r="AC48" s="306"/>
      <c r="AD48" s="306"/>
      <c r="AE48" s="307"/>
      <c r="AF48" s="306"/>
      <c r="AG48" s="306"/>
    </row>
    <row r="49" spans="2:33" ht="15.75" customHeight="1" x14ac:dyDescent="0.35">
      <c r="B49" s="55" t="s">
        <v>964</v>
      </c>
      <c r="C49" s="535" t="s">
        <v>808</v>
      </c>
      <c r="D49" s="67" t="s">
        <v>63</v>
      </c>
      <c r="E49" s="67"/>
      <c r="F49" s="62" t="s">
        <v>60</v>
      </c>
      <c r="H49" s="192">
        <v>1.4057999999999999</v>
      </c>
      <c r="J49" s="71">
        <f t="shared" si="35"/>
        <v>0.49792857142857144</v>
      </c>
      <c r="K49" s="221">
        <f t="shared" si="36"/>
        <v>2</v>
      </c>
      <c r="L49" s="223">
        <v>2.8</v>
      </c>
      <c r="N49" s="214">
        <v>0.42</v>
      </c>
      <c r="O49" s="215">
        <f t="shared" si="37"/>
        <v>2.5</v>
      </c>
      <c r="W49" s="214">
        <f t="shared" si="38"/>
        <v>0.47368421052631582</v>
      </c>
      <c r="X49" s="215">
        <f t="shared" si="39"/>
        <v>2.6710199999999999</v>
      </c>
      <c r="Z49" s="214">
        <f t="shared" si="40"/>
        <v>0.44999999999999996</v>
      </c>
      <c r="AA49" s="223">
        <f t="shared" si="41"/>
        <v>2.556</v>
      </c>
      <c r="AC49" s="306"/>
      <c r="AD49" s="306">
        <v>18</v>
      </c>
      <c r="AE49" s="307"/>
      <c r="AF49" s="306">
        <f>0.8*17.98</f>
        <v>14.384</v>
      </c>
      <c r="AG49" s="306"/>
    </row>
    <row r="50" spans="2:33" ht="15.75" customHeight="1" x14ac:dyDescent="0.35">
      <c r="C50" s="535" t="s">
        <v>929</v>
      </c>
      <c r="D50" s="55" t="s">
        <v>64</v>
      </c>
      <c r="F50" s="62" t="s">
        <v>60</v>
      </c>
      <c r="H50" s="192">
        <v>371</v>
      </c>
      <c r="J50" s="71">
        <f t="shared" si="35"/>
        <v>0.5</v>
      </c>
      <c r="K50" s="221">
        <f t="shared" si="36"/>
        <v>2</v>
      </c>
      <c r="L50" s="223">
        <v>742</v>
      </c>
      <c r="N50" s="214">
        <v>0.42</v>
      </c>
      <c r="O50" s="215">
        <f t="shared" si="37"/>
        <v>639.70000000000005</v>
      </c>
      <c r="W50" s="214">
        <f t="shared" si="38"/>
        <v>0.47368421052631576</v>
      </c>
      <c r="X50" s="215">
        <f t="shared" si="39"/>
        <v>704.9</v>
      </c>
      <c r="Z50" s="214">
        <f t="shared" si="40"/>
        <v>0.44999999999999996</v>
      </c>
      <c r="AA50" s="223">
        <f t="shared" si="41"/>
        <v>674.54599999999994</v>
      </c>
      <c r="AC50" s="306"/>
      <c r="AD50" s="306"/>
      <c r="AE50" s="306"/>
      <c r="AF50" s="306"/>
      <c r="AG50" s="306"/>
    </row>
    <row r="51" spans="2:33" ht="15.75" customHeight="1" x14ac:dyDescent="0.35">
      <c r="C51" s="535"/>
      <c r="H51" s="192"/>
      <c r="J51" s="71"/>
      <c r="K51" s="221"/>
      <c r="L51" s="223"/>
      <c r="N51" s="214"/>
      <c r="O51" s="215"/>
      <c r="W51" s="214"/>
      <c r="X51" s="215"/>
      <c r="Z51" s="214"/>
      <c r="AA51" s="223"/>
      <c r="AC51" s="306"/>
      <c r="AD51" s="306"/>
      <c r="AE51" s="306"/>
      <c r="AF51" s="306"/>
      <c r="AG51" s="306"/>
    </row>
    <row r="52" spans="2:33" ht="15.75" customHeight="1" x14ac:dyDescent="0.35">
      <c r="C52" s="535"/>
      <c r="H52" s="192"/>
      <c r="J52" s="71"/>
      <c r="K52" s="221"/>
      <c r="L52" s="223"/>
      <c r="N52" s="214"/>
      <c r="O52" s="215"/>
      <c r="W52" s="214"/>
      <c r="X52" s="215"/>
      <c r="Z52" s="214"/>
      <c r="AA52" s="223"/>
      <c r="AC52" s="306"/>
      <c r="AD52" s="306"/>
      <c r="AE52" s="306"/>
      <c r="AF52" s="306"/>
      <c r="AG52" s="306"/>
    </row>
    <row r="53" spans="2:33" ht="15.75" customHeight="1" x14ac:dyDescent="0.35">
      <c r="B53" s="73"/>
      <c r="C53" s="539"/>
      <c r="D53" s="73" t="s">
        <v>66</v>
      </c>
      <c r="E53" s="73"/>
      <c r="F53" s="108"/>
      <c r="G53" s="109"/>
      <c r="H53" s="200"/>
      <c r="J53" s="110"/>
      <c r="K53" s="110"/>
      <c r="L53" s="417"/>
      <c r="M53" s="183"/>
      <c r="N53" s="198"/>
      <c r="O53" s="199"/>
      <c r="W53" s="216"/>
      <c r="X53" s="201"/>
      <c r="Z53" s="198"/>
      <c r="AA53" s="199"/>
      <c r="AC53" s="306"/>
      <c r="AD53" s="306"/>
      <c r="AE53" s="306"/>
      <c r="AF53" s="306"/>
      <c r="AG53" s="306"/>
    </row>
    <row r="54" spans="2:33" ht="15.75" customHeight="1" x14ac:dyDescent="0.35">
      <c r="C54" s="535"/>
      <c r="H54" s="192"/>
      <c r="J54" s="71"/>
      <c r="K54" s="221"/>
      <c r="L54" s="223"/>
      <c r="N54" s="214"/>
      <c r="O54" s="215"/>
      <c r="W54" s="214"/>
      <c r="X54" s="215"/>
      <c r="Z54" s="214"/>
      <c r="AA54" s="223"/>
      <c r="AC54" s="306"/>
      <c r="AD54" s="306"/>
      <c r="AE54" s="306"/>
      <c r="AF54" s="306"/>
      <c r="AG54" s="306"/>
    </row>
    <row r="55" spans="2:33" ht="15.75" customHeight="1" x14ac:dyDescent="0.35">
      <c r="C55" s="535" t="s">
        <v>810</v>
      </c>
      <c r="D55" s="67" t="s">
        <v>67</v>
      </c>
      <c r="F55" s="62" t="s">
        <v>68</v>
      </c>
      <c r="H55" s="192">
        <v>17.5</v>
      </c>
      <c r="J55" s="71">
        <f t="shared" ref="J55:J56" si="42">(L55-H55)/L55</f>
        <v>0.5</v>
      </c>
      <c r="K55" s="221">
        <f t="shared" ref="K55:K56" si="43">ROUNDUP(L55/H55,2)</f>
        <v>2</v>
      </c>
      <c r="L55" s="223">
        <v>35</v>
      </c>
      <c r="N55" s="214">
        <v>0.42</v>
      </c>
      <c r="O55" s="215">
        <f t="shared" ref="O55:O56" si="44">ROUNDUP(H55/-(N55-1),1)</f>
        <v>30.200000000000003</v>
      </c>
      <c r="W55" s="214">
        <f t="shared" ref="W55:W56" si="45">(X55-H55)/X55</f>
        <v>0.47368421052631576</v>
      </c>
      <c r="X55" s="215">
        <f t="shared" ref="X55:X56" si="46">(H55*$W$2)</f>
        <v>33.25</v>
      </c>
      <c r="Z55" s="214">
        <f t="shared" ref="Z55:Z56" si="47">N55+3/100</f>
        <v>0.44999999999999996</v>
      </c>
      <c r="AA55" s="223">
        <f t="shared" ref="AA55:AA56" si="48">ROUNDUP(H55/-(Z55-1),3)</f>
        <v>31.819000000000003</v>
      </c>
      <c r="AC55" s="306"/>
      <c r="AD55" s="306"/>
      <c r="AE55" s="306"/>
      <c r="AF55" s="306"/>
      <c r="AG55" s="306"/>
    </row>
    <row r="56" spans="2:33" ht="15.75" customHeight="1" x14ac:dyDescent="0.35">
      <c r="C56" s="535" t="s">
        <v>811</v>
      </c>
      <c r="D56" s="67" t="s">
        <v>69</v>
      </c>
      <c r="F56" s="62" t="s">
        <v>60</v>
      </c>
      <c r="H56" s="204">
        <v>0</v>
      </c>
      <c r="J56" s="71" t="e">
        <f t="shared" si="42"/>
        <v>#DIV/0!</v>
      </c>
      <c r="K56" s="221" t="e">
        <f t="shared" si="43"/>
        <v>#DIV/0!</v>
      </c>
      <c r="L56" s="223">
        <v>0</v>
      </c>
      <c r="N56" s="214">
        <v>0.42</v>
      </c>
      <c r="O56" s="215">
        <f t="shared" si="44"/>
        <v>0</v>
      </c>
      <c r="W56" s="214" t="e">
        <f t="shared" si="45"/>
        <v>#DIV/0!</v>
      </c>
      <c r="X56" s="215">
        <f t="shared" si="46"/>
        <v>0</v>
      </c>
      <c r="Z56" s="214">
        <f t="shared" si="47"/>
        <v>0.44999999999999996</v>
      </c>
      <c r="AA56" s="223">
        <f t="shared" si="48"/>
        <v>0</v>
      </c>
      <c r="AC56" s="306"/>
      <c r="AD56" s="306"/>
      <c r="AE56" s="306"/>
      <c r="AF56" s="306"/>
      <c r="AG56" s="306"/>
    </row>
    <row r="57" spans="2:33" ht="15.75" customHeight="1" x14ac:dyDescent="0.35">
      <c r="C57" s="535"/>
      <c r="H57" s="192"/>
      <c r="J57" s="71"/>
      <c r="K57" s="221"/>
      <c r="L57" s="223"/>
      <c r="N57" s="214"/>
      <c r="O57" s="215"/>
      <c r="W57" s="214"/>
      <c r="X57" s="215"/>
      <c r="Z57" s="214"/>
      <c r="AA57" s="223"/>
      <c r="AC57" s="306"/>
      <c r="AD57" s="306"/>
      <c r="AE57" s="306"/>
      <c r="AF57" s="306"/>
      <c r="AG57" s="306"/>
    </row>
    <row r="58" spans="2:33" ht="15.75" customHeight="1" x14ac:dyDescent="0.35">
      <c r="B58" s="73"/>
      <c r="C58" s="539"/>
      <c r="D58" s="73" t="s">
        <v>70</v>
      </c>
      <c r="E58" s="73"/>
      <c r="F58" s="108"/>
      <c r="G58" s="109"/>
      <c r="H58" s="200"/>
      <c r="J58" s="110"/>
      <c r="K58" s="110"/>
      <c r="L58" s="417"/>
      <c r="M58" s="183"/>
      <c r="N58" s="198"/>
      <c r="O58" s="199"/>
      <c r="W58" s="216"/>
      <c r="X58" s="201"/>
      <c r="Z58" s="198"/>
      <c r="AA58" s="199"/>
      <c r="AC58" s="306"/>
      <c r="AD58" s="306"/>
      <c r="AE58" s="306"/>
      <c r="AF58" s="306"/>
      <c r="AG58" s="306"/>
    </row>
    <row r="59" spans="2:33" ht="15.75" customHeight="1" x14ac:dyDescent="0.35">
      <c r="C59" s="535"/>
      <c r="H59" s="192"/>
      <c r="J59" s="71"/>
      <c r="K59" s="221"/>
      <c r="L59" s="223"/>
      <c r="N59" s="214"/>
      <c r="O59" s="215"/>
      <c r="W59" s="214"/>
      <c r="X59" s="215"/>
      <c r="Z59" s="214"/>
      <c r="AA59" s="215"/>
      <c r="AC59" s="306"/>
      <c r="AD59" s="306"/>
      <c r="AE59" s="306"/>
      <c r="AF59" s="306"/>
      <c r="AG59" s="306"/>
    </row>
    <row r="60" spans="2:33" ht="15.75" customHeight="1" x14ac:dyDescent="0.35">
      <c r="B60" s="78"/>
      <c r="C60" s="536"/>
      <c r="D60" s="78" t="s">
        <v>71</v>
      </c>
      <c r="E60" s="78"/>
      <c r="F60" s="79"/>
      <c r="H60" s="192"/>
      <c r="J60" s="71"/>
      <c r="K60" s="221"/>
      <c r="L60" s="223"/>
      <c r="N60" s="214"/>
      <c r="O60" s="215"/>
      <c r="W60" s="214"/>
      <c r="X60" s="215"/>
      <c r="Z60" s="214"/>
      <c r="AA60" s="215"/>
      <c r="AC60" s="306"/>
      <c r="AD60" s="306"/>
      <c r="AE60" s="306"/>
      <c r="AF60" s="306"/>
      <c r="AG60" s="306"/>
    </row>
    <row r="61" spans="2:33" ht="15.75" customHeight="1" x14ac:dyDescent="0.35">
      <c r="B61" s="55" t="s">
        <v>965</v>
      </c>
      <c r="C61" s="535" t="s">
        <v>812</v>
      </c>
      <c r="D61" s="55" t="s">
        <v>72</v>
      </c>
      <c r="F61" s="62" t="s">
        <v>60</v>
      </c>
      <c r="H61" s="192">
        <f>H63+H62</f>
        <v>5.8000000000000007</v>
      </c>
      <c r="J61" s="71">
        <f t="shared" ref="J61" si="49">(L61-H61)/L61</f>
        <v>0.348314606741573</v>
      </c>
      <c r="K61" s="221">
        <f t="shared" ref="K61" si="50">ROUNDUP(L61/H61,2)</f>
        <v>1.54</v>
      </c>
      <c r="L61" s="223">
        <v>8.9</v>
      </c>
      <c r="N61" s="214">
        <v>0.3</v>
      </c>
      <c r="O61" s="215">
        <f t="shared" ref="O61:O78" si="51">ROUNDUP(H61/-(N61-1),1)</f>
        <v>8.2999999999999989</v>
      </c>
      <c r="Q61">
        <f>0.8*14.39</f>
        <v>11.512</v>
      </c>
      <c r="W61" s="214">
        <f t="shared" ref="W61:W78" si="52">(X61-H61)/X61</f>
        <v>0.47368421052631576</v>
      </c>
      <c r="X61" s="215">
        <f t="shared" ref="X61:X78" si="53">(H61*$W$2)</f>
        <v>11.020000000000001</v>
      </c>
      <c r="Z61" s="214">
        <f>N61+3/100</f>
        <v>0.32999999999999996</v>
      </c>
      <c r="AA61" s="223">
        <f t="shared" ref="AA61:AA78" si="54">ROUNDUP(H61/-(Z61-1),3)</f>
        <v>8.657</v>
      </c>
      <c r="AC61" s="306"/>
      <c r="AD61" s="306"/>
      <c r="AE61" s="306"/>
      <c r="AF61" s="306"/>
      <c r="AG61" s="306"/>
    </row>
    <row r="62" spans="2:33" ht="15.75" customHeight="1" x14ac:dyDescent="0.35">
      <c r="B62" s="55" t="s">
        <v>966</v>
      </c>
      <c r="C62" s="535" t="s">
        <v>813</v>
      </c>
      <c r="D62" s="55" t="s">
        <v>73</v>
      </c>
      <c r="F62" s="62" t="s">
        <v>60</v>
      </c>
      <c r="H62" s="192">
        <v>3.41</v>
      </c>
      <c r="J62" s="71">
        <f t="shared" ref="J62:J78" si="55">(L62-H62)/L62</f>
        <v>0.5</v>
      </c>
      <c r="K62" s="500">
        <f t="shared" ref="K62:K78" si="56">ROUNDUP(L62/H62,2)</f>
        <v>2</v>
      </c>
      <c r="L62" s="223">
        <v>6.82</v>
      </c>
      <c r="N62" s="214">
        <v>0.31</v>
      </c>
      <c r="O62" s="215">
        <f t="shared" si="51"/>
        <v>5</v>
      </c>
      <c r="W62" s="214">
        <f t="shared" si="52"/>
        <v>0.47368421052631576</v>
      </c>
      <c r="X62" s="215">
        <f t="shared" si="53"/>
        <v>6.4790000000000001</v>
      </c>
      <c r="Z62" s="214">
        <f t="shared" ref="Z62:Z78" si="57">N62+3/100</f>
        <v>0.33999999999999997</v>
      </c>
      <c r="AA62" s="223">
        <f t="shared" si="54"/>
        <v>5.1670000000000007</v>
      </c>
    </row>
    <row r="63" spans="2:33" ht="15.75" customHeight="1" x14ac:dyDescent="0.35">
      <c r="B63" s="55" t="s">
        <v>967</v>
      </c>
      <c r="C63" s="535" t="s">
        <v>814</v>
      </c>
      <c r="D63" s="55" t="s">
        <v>74</v>
      </c>
      <c r="F63" s="62" t="s">
        <v>60</v>
      </c>
      <c r="H63" s="192">
        <v>2.39</v>
      </c>
      <c r="J63" s="71">
        <f t="shared" si="55"/>
        <v>0.5</v>
      </c>
      <c r="K63" s="500">
        <f t="shared" si="56"/>
        <v>2</v>
      </c>
      <c r="L63" s="223">
        <v>4.78</v>
      </c>
      <c r="N63" s="214">
        <v>0.3</v>
      </c>
      <c r="O63" s="215">
        <f t="shared" si="51"/>
        <v>3.5</v>
      </c>
      <c r="W63" s="214">
        <f t="shared" si="52"/>
        <v>0.47368421052631582</v>
      </c>
      <c r="X63" s="215">
        <f t="shared" si="53"/>
        <v>4.5410000000000004</v>
      </c>
      <c r="Z63" s="214">
        <f t="shared" si="57"/>
        <v>0.32999999999999996</v>
      </c>
      <c r="AA63" s="223">
        <f t="shared" si="54"/>
        <v>3.5680000000000001</v>
      </c>
    </row>
    <row r="64" spans="2:33" ht="15.75" customHeight="1" x14ac:dyDescent="0.35">
      <c r="B64" s="55" t="s">
        <v>968</v>
      </c>
      <c r="C64" s="535" t="s">
        <v>815</v>
      </c>
      <c r="D64" s="55" t="s">
        <v>75</v>
      </c>
      <c r="F64" s="62" t="s">
        <v>76</v>
      </c>
      <c r="H64" s="192">
        <v>4.45</v>
      </c>
      <c r="J64" s="71">
        <f t="shared" si="55"/>
        <v>0.5</v>
      </c>
      <c r="K64" s="500">
        <f t="shared" si="56"/>
        <v>2</v>
      </c>
      <c r="L64" s="223">
        <v>8.9</v>
      </c>
      <c r="N64" s="214">
        <v>0.35</v>
      </c>
      <c r="O64" s="215">
        <f t="shared" si="51"/>
        <v>6.8999999999999995</v>
      </c>
      <c r="W64" s="214">
        <f t="shared" si="52"/>
        <v>0.47368421052631576</v>
      </c>
      <c r="X64" s="215">
        <f t="shared" si="53"/>
        <v>8.4550000000000001</v>
      </c>
      <c r="Z64" s="214">
        <f t="shared" si="57"/>
        <v>0.38</v>
      </c>
      <c r="AA64" s="223">
        <f t="shared" si="54"/>
        <v>7.1779999999999999</v>
      </c>
    </row>
    <row r="65" spans="2:37" ht="15.75" customHeight="1" x14ac:dyDescent="0.35">
      <c r="B65" s="55" t="s">
        <v>969</v>
      </c>
      <c r="C65" s="535" t="s">
        <v>816</v>
      </c>
      <c r="D65" s="55" t="s">
        <v>77</v>
      </c>
      <c r="F65" s="62" t="s">
        <v>60</v>
      </c>
      <c r="H65" s="192">
        <v>7.04</v>
      </c>
      <c r="J65" s="71">
        <f t="shared" si="55"/>
        <v>0.5</v>
      </c>
      <c r="K65" s="500">
        <f t="shared" si="56"/>
        <v>2</v>
      </c>
      <c r="L65" s="223">
        <v>14.08</v>
      </c>
      <c r="N65" s="214">
        <v>0.3</v>
      </c>
      <c r="O65" s="193">
        <f t="shared" si="51"/>
        <v>10.1</v>
      </c>
      <c r="W65" s="214">
        <f t="shared" si="52"/>
        <v>0.47368421052631576</v>
      </c>
      <c r="X65" s="215">
        <f t="shared" si="53"/>
        <v>13.375999999999999</v>
      </c>
      <c r="Z65" s="214">
        <f t="shared" si="57"/>
        <v>0.32999999999999996</v>
      </c>
      <c r="AA65" s="223">
        <f t="shared" si="54"/>
        <v>10.507999999999999</v>
      </c>
    </row>
    <row r="66" spans="2:37" ht="15.75" customHeight="1" x14ac:dyDescent="0.35">
      <c r="B66" s="55" t="s">
        <v>970</v>
      </c>
      <c r="C66" s="535" t="s">
        <v>817</v>
      </c>
      <c r="D66" s="55" t="s">
        <v>78</v>
      </c>
      <c r="F66" s="62" t="s">
        <v>76</v>
      </c>
      <c r="H66" s="192">
        <v>8.51</v>
      </c>
      <c r="J66" s="71">
        <f t="shared" si="55"/>
        <v>0.5</v>
      </c>
      <c r="K66" s="500">
        <f t="shared" si="56"/>
        <v>2</v>
      </c>
      <c r="L66" s="223">
        <v>17.02</v>
      </c>
      <c r="N66" s="214">
        <v>0.3</v>
      </c>
      <c r="O66" s="193">
        <f t="shared" si="51"/>
        <v>12.2</v>
      </c>
      <c r="W66" s="214">
        <f t="shared" si="52"/>
        <v>0.47368421052631582</v>
      </c>
      <c r="X66" s="215">
        <f t="shared" si="53"/>
        <v>16.169</v>
      </c>
      <c r="Z66" s="214">
        <f t="shared" si="57"/>
        <v>0.32999999999999996</v>
      </c>
      <c r="AA66" s="223">
        <f t="shared" si="54"/>
        <v>12.702</v>
      </c>
    </row>
    <row r="67" spans="2:37" ht="15.75" customHeight="1" x14ac:dyDescent="0.35">
      <c r="B67" s="55" t="s">
        <v>971</v>
      </c>
      <c r="C67" s="535" t="s">
        <v>818</v>
      </c>
      <c r="D67" s="55" t="s">
        <v>79</v>
      </c>
      <c r="F67" s="62" t="s">
        <v>60</v>
      </c>
      <c r="H67" s="192">
        <v>2.33</v>
      </c>
      <c r="J67" s="71">
        <f t="shared" si="55"/>
        <v>0.5</v>
      </c>
      <c r="K67" s="500">
        <f t="shared" si="56"/>
        <v>2</v>
      </c>
      <c r="L67" s="223">
        <v>4.66</v>
      </c>
      <c r="N67" s="214">
        <v>0.31</v>
      </c>
      <c r="O67" s="193">
        <f t="shared" si="51"/>
        <v>3.4</v>
      </c>
      <c r="W67" s="214">
        <f t="shared" si="52"/>
        <v>0.47368421052631571</v>
      </c>
      <c r="X67" s="215">
        <f t="shared" si="53"/>
        <v>4.4269999999999996</v>
      </c>
      <c r="Z67" s="214">
        <f t="shared" si="57"/>
        <v>0.33999999999999997</v>
      </c>
      <c r="AA67" s="223">
        <f t="shared" si="54"/>
        <v>3.5309999999999997</v>
      </c>
    </row>
    <row r="68" spans="2:37" ht="15.75" customHeight="1" x14ac:dyDescent="0.35">
      <c r="B68" s="55" t="s">
        <v>972</v>
      </c>
      <c r="C68" s="535" t="s">
        <v>819</v>
      </c>
      <c r="D68" s="55" t="s">
        <v>80</v>
      </c>
      <c r="F68" s="62" t="s">
        <v>60</v>
      </c>
      <c r="H68" s="192">
        <v>2.02</v>
      </c>
      <c r="J68" s="71">
        <f t="shared" si="55"/>
        <v>0.495</v>
      </c>
      <c r="K68" s="500">
        <f t="shared" si="56"/>
        <v>1.99</v>
      </c>
      <c r="L68" s="223">
        <v>4</v>
      </c>
      <c r="N68" s="214">
        <v>0.3</v>
      </c>
      <c r="O68" s="193">
        <f t="shared" si="51"/>
        <v>2.9</v>
      </c>
      <c r="W68" s="214">
        <f t="shared" si="52"/>
        <v>0.47368421052631571</v>
      </c>
      <c r="X68" s="215">
        <f t="shared" si="53"/>
        <v>3.8379999999999996</v>
      </c>
      <c r="Z68" s="214">
        <f t="shared" si="57"/>
        <v>0.32999999999999996</v>
      </c>
      <c r="AA68" s="223">
        <f t="shared" si="54"/>
        <v>3.0149999999999997</v>
      </c>
    </row>
    <row r="69" spans="2:37" ht="15" customHeight="1" x14ac:dyDescent="0.35">
      <c r="B69" s="55" t="s">
        <v>973</v>
      </c>
      <c r="C69" s="535" t="s">
        <v>820</v>
      </c>
      <c r="D69" s="55" t="s">
        <v>81</v>
      </c>
      <c r="F69" s="62" t="s">
        <v>60</v>
      </c>
      <c r="H69" s="192">
        <v>4.2960000000000003</v>
      </c>
      <c r="J69" s="71">
        <f t="shared" si="55"/>
        <v>0.50046511627906975</v>
      </c>
      <c r="K69" s="500">
        <f t="shared" si="56"/>
        <v>2.0099999999999998</v>
      </c>
      <c r="L69" s="223">
        <v>8.6</v>
      </c>
      <c r="N69" s="214">
        <v>0.3</v>
      </c>
      <c r="O69" s="193">
        <f t="shared" si="51"/>
        <v>6.1999999999999993</v>
      </c>
      <c r="W69" s="214">
        <f t="shared" si="52"/>
        <v>0.47368421052631576</v>
      </c>
      <c r="X69" s="215">
        <f t="shared" si="53"/>
        <v>8.1623999999999999</v>
      </c>
      <c r="Z69" s="214">
        <f t="shared" si="57"/>
        <v>0.32999999999999996</v>
      </c>
      <c r="AA69" s="223">
        <f t="shared" si="54"/>
        <v>6.4119999999999999</v>
      </c>
    </row>
    <row r="70" spans="2:37" ht="19.5" customHeight="1" x14ac:dyDescent="0.35">
      <c r="B70" s="55" t="s">
        <v>974</v>
      </c>
      <c r="C70" s="535" t="s">
        <v>821</v>
      </c>
      <c r="D70" s="55" t="s">
        <v>82</v>
      </c>
      <c r="F70" s="62" t="s">
        <v>60</v>
      </c>
      <c r="H70" s="192">
        <v>3.66</v>
      </c>
      <c r="J70" s="71">
        <f t="shared" si="55"/>
        <v>0.49863013698630132</v>
      </c>
      <c r="K70" s="500">
        <f t="shared" si="56"/>
        <v>2</v>
      </c>
      <c r="L70" s="223">
        <v>7.3</v>
      </c>
      <c r="N70" s="214">
        <v>0.3</v>
      </c>
      <c r="O70" s="193">
        <f t="shared" si="51"/>
        <v>5.3</v>
      </c>
      <c r="W70" s="214">
        <f t="shared" si="52"/>
        <v>0.47368421052631576</v>
      </c>
      <c r="X70" s="215">
        <f t="shared" si="53"/>
        <v>6.9539999999999997</v>
      </c>
      <c r="Z70" s="214">
        <f t="shared" si="57"/>
        <v>0.32999999999999996</v>
      </c>
      <c r="AA70" s="223">
        <f t="shared" si="54"/>
        <v>5.4630000000000001</v>
      </c>
    </row>
    <row r="71" spans="2:37" ht="18.75" customHeight="1" x14ac:dyDescent="0.35">
      <c r="B71" s="55" t="s">
        <v>975</v>
      </c>
      <c r="C71" s="535" t="s">
        <v>822</v>
      </c>
      <c r="D71" s="55" t="s">
        <v>83</v>
      </c>
      <c r="F71" s="62" t="s">
        <v>60</v>
      </c>
      <c r="G71" s="61"/>
      <c r="H71" s="192">
        <v>4.78</v>
      </c>
      <c r="J71" s="71">
        <f t="shared" si="55"/>
        <v>0.49684210526315786</v>
      </c>
      <c r="K71" s="500">
        <f t="shared" si="56"/>
        <v>1.99</v>
      </c>
      <c r="L71" s="223">
        <v>9.5</v>
      </c>
      <c r="N71" s="214">
        <v>0.3</v>
      </c>
      <c r="O71" s="193">
        <f t="shared" si="51"/>
        <v>6.8999999999999995</v>
      </c>
      <c r="W71" s="214">
        <f t="shared" si="52"/>
        <v>0.47368421052631582</v>
      </c>
      <c r="X71" s="215">
        <f t="shared" si="53"/>
        <v>9.0820000000000007</v>
      </c>
      <c r="Z71" s="214">
        <f t="shared" si="57"/>
        <v>0.32999999999999996</v>
      </c>
      <c r="AA71" s="223">
        <f t="shared" si="54"/>
        <v>7.1350000000000007</v>
      </c>
    </row>
    <row r="72" spans="2:37" x14ac:dyDescent="0.35">
      <c r="B72" s="55" t="s">
        <v>976</v>
      </c>
      <c r="C72" s="535" t="s">
        <v>823</v>
      </c>
      <c r="D72" s="55" t="s">
        <v>84</v>
      </c>
      <c r="F72" s="62" t="s">
        <v>76</v>
      </c>
      <c r="H72" s="192">
        <v>3.33</v>
      </c>
      <c r="J72" s="71">
        <f t="shared" si="55"/>
        <v>0.49545454545454543</v>
      </c>
      <c r="K72" s="500">
        <f t="shared" si="56"/>
        <v>1.99</v>
      </c>
      <c r="L72" s="223">
        <v>6.6</v>
      </c>
      <c r="N72" s="214">
        <v>0.3</v>
      </c>
      <c r="O72" s="193">
        <f t="shared" si="51"/>
        <v>4.8</v>
      </c>
      <c r="W72" s="214">
        <f t="shared" si="52"/>
        <v>0.47368421052631576</v>
      </c>
      <c r="X72" s="215">
        <f t="shared" si="53"/>
        <v>6.327</v>
      </c>
      <c r="Z72" s="214">
        <f t="shared" si="57"/>
        <v>0.32999999999999996</v>
      </c>
      <c r="AA72" s="223">
        <f t="shared" si="54"/>
        <v>4.9710000000000001</v>
      </c>
    </row>
    <row r="73" spans="2:37" ht="15" customHeight="1" x14ac:dyDescent="0.35">
      <c r="B73" s="55" t="s">
        <v>977</v>
      </c>
      <c r="C73" s="535" t="s">
        <v>824</v>
      </c>
      <c r="D73" s="55" t="s">
        <v>85</v>
      </c>
      <c r="F73" s="62" t="s">
        <v>60</v>
      </c>
      <c r="H73" s="192">
        <v>3.62</v>
      </c>
      <c r="J73" s="71">
        <f t="shared" si="55"/>
        <v>0.5</v>
      </c>
      <c r="K73" s="500">
        <f t="shared" si="56"/>
        <v>2</v>
      </c>
      <c r="L73" s="223">
        <v>7.24</v>
      </c>
      <c r="N73" s="214">
        <v>0.3</v>
      </c>
      <c r="O73" s="193">
        <f t="shared" si="51"/>
        <v>5.1999999999999993</v>
      </c>
      <c r="W73" s="214">
        <f t="shared" si="52"/>
        <v>0.47368421052631576</v>
      </c>
      <c r="X73" s="215">
        <f t="shared" si="53"/>
        <v>6.8780000000000001</v>
      </c>
      <c r="Z73" s="214">
        <f t="shared" si="57"/>
        <v>0.32999999999999996</v>
      </c>
      <c r="AA73" s="223">
        <f t="shared" si="54"/>
        <v>5.4030000000000005</v>
      </c>
    </row>
    <row r="74" spans="2:37" ht="15.75" customHeight="1" x14ac:dyDescent="0.35">
      <c r="B74" s="55" t="s">
        <v>978</v>
      </c>
      <c r="C74" s="535" t="s">
        <v>825</v>
      </c>
      <c r="D74" s="55" t="s">
        <v>86</v>
      </c>
      <c r="F74" s="62" t="s">
        <v>60</v>
      </c>
      <c r="H74" s="192">
        <v>4.28</v>
      </c>
      <c r="J74" s="71">
        <f t="shared" si="55"/>
        <v>0.5</v>
      </c>
      <c r="K74" s="500">
        <f t="shared" si="56"/>
        <v>2</v>
      </c>
      <c r="L74" s="223">
        <v>8.56</v>
      </c>
      <c r="N74" s="214">
        <v>0.3</v>
      </c>
      <c r="O74" s="193">
        <f t="shared" si="51"/>
        <v>6.1999999999999993</v>
      </c>
      <c r="W74" s="214">
        <f t="shared" si="52"/>
        <v>0.47368421052631576</v>
      </c>
      <c r="X74" s="215">
        <f t="shared" si="53"/>
        <v>8.1319999999999997</v>
      </c>
      <c r="Z74" s="214">
        <f t="shared" si="57"/>
        <v>0.32999999999999996</v>
      </c>
      <c r="AA74" s="223">
        <f t="shared" si="54"/>
        <v>6.3890000000000002</v>
      </c>
    </row>
    <row r="75" spans="2:37" ht="16.5" customHeight="1" x14ac:dyDescent="0.35">
      <c r="B75" s="55" t="s">
        <v>979</v>
      </c>
      <c r="C75" s="535" t="s">
        <v>826</v>
      </c>
      <c r="D75" s="55" t="s">
        <v>87</v>
      </c>
      <c r="F75" s="62" t="s">
        <v>60</v>
      </c>
      <c r="H75" s="192">
        <v>9.69</v>
      </c>
      <c r="J75" s="71">
        <f t="shared" si="55"/>
        <v>0.5</v>
      </c>
      <c r="K75" s="500">
        <f t="shared" si="56"/>
        <v>2</v>
      </c>
      <c r="L75" s="223">
        <v>19.38</v>
      </c>
      <c r="N75" s="214">
        <v>0.3</v>
      </c>
      <c r="O75" s="193">
        <f t="shared" si="51"/>
        <v>13.9</v>
      </c>
      <c r="W75" s="214">
        <f t="shared" si="52"/>
        <v>0.47368421052631576</v>
      </c>
      <c r="X75" s="215">
        <f t="shared" si="53"/>
        <v>18.410999999999998</v>
      </c>
      <c r="Z75" s="214">
        <f t="shared" si="57"/>
        <v>0.32999999999999996</v>
      </c>
      <c r="AA75" s="223">
        <f t="shared" si="54"/>
        <v>14.462999999999999</v>
      </c>
      <c r="AB75" s="305"/>
      <c r="AC75" s="55">
        <v>938.17000000000007</v>
      </c>
      <c r="AD75" s="55">
        <v>712</v>
      </c>
      <c r="AE75" s="55">
        <v>544</v>
      </c>
      <c r="AF75" s="55">
        <f>0.8*856.78</f>
        <v>685.42399999999998</v>
      </c>
      <c r="AG75" s="55">
        <v>671</v>
      </c>
    </row>
    <row r="76" spans="2:37" ht="16.5" customHeight="1" x14ac:dyDescent="0.35">
      <c r="B76" s="55" t="s">
        <v>980</v>
      </c>
      <c r="C76" s="535" t="s">
        <v>827</v>
      </c>
      <c r="D76" s="55" t="s">
        <v>88</v>
      </c>
      <c r="F76" s="62" t="s">
        <v>76</v>
      </c>
      <c r="H76" s="192">
        <v>2.61</v>
      </c>
      <c r="J76" s="71">
        <f t="shared" si="55"/>
        <v>0.5</v>
      </c>
      <c r="K76" s="500">
        <f t="shared" si="56"/>
        <v>2</v>
      </c>
      <c r="L76" s="223">
        <v>5.22</v>
      </c>
      <c r="N76" s="214">
        <v>0.3</v>
      </c>
      <c r="O76" s="193">
        <f t="shared" si="51"/>
        <v>3.8000000000000003</v>
      </c>
      <c r="W76" s="214">
        <f t="shared" si="52"/>
        <v>0.47368421052631576</v>
      </c>
      <c r="X76" s="215">
        <f t="shared" si="53"/>
        <v>4.9589999999999996</v>
      </c>
      <c r="Z76" s="214">
        <f t="shared" si="57"/>
        <v>0.32999999999999996</v>
      </c>
      <c r="AA76" s="223">
        <f t="shared" si="54"/>
        <v>3.8959999999999999</v>
      </c>
      <c r="AF76" s="55">
        <f>0.8*884.98</f>
        <v>707.98400000000004</v>
      </c>
      <c r="AG76" s="55">
        <v>672</v>
      </c>
    </row>
    <row r="77" spans="2:37" ht="16.5" customHeight="1" x14ac:dyDescent="0.35">
      <c r="B77" s="55" t="s">
        <v>981</v>
      </c>
      <c r="C77" s="535" t="s">
        <v>828</v>
      </c>
      <c r="D77" s="55" t="s">
        <v>89</v>
      </c>
      <c r="F77" s="62" t="s">
        <v>76</v>
      </c>
      <c r="H77" s="192">
        <v>5.15</v>
      </c>
      <c r="J77" s="71">
        <f t="shared" si="55"/>
        <v>0.49509803921568618</v>
      </c>
      <c r="K77" s="500">
        <f t="shared" si="56"/>
        <v>1.99</v>
      </c>
      <c r="L77" s="223">
        <v>10.199999999999999</v>
      </c>
      <c r="N77" s="214">
        <v>0.3</v>
      </c>
      <c r="O77" s="193">
        <f t="shared" si="51"/>
        <v>7.3999999999999995</v>
      </c>
      <c r="W77" s="214">
        <f t="shared" si="52"/>
        <v>0.47368421052631576</v>
      </c>
      <c r="X77" s="215">
        <f t="shared" si="53"/>
        <v>9.7850000000000001</v>
      </c>
      <c r="Z77" s="214">
        <f t="shared" si="57"/>
        <v>0.32999999999999996</v>
      </c>
      <c r="AA77" s="223">
        <f t="shared" si="54"/>
        <v>7.6870000000000003</v>
      </c>
    </row>
    <row r="78" spans="2:37" ht="16.5" customHeight="1" x14ac:dyDescent="0.35">
      <c r="B78" s="55" t="s">
        <v>982</v>
      </c>
      <c r="C78" s="535" t="s">
        <v>829</v>
      </c>
      <c r="D78" s="55" t="s">
        <v>90</v>
      </c>
      <c r="F78" s="62" t="s">
        <v>76</v>
      </c>
      <c r="H78" s="192">
        <v>5.19</v>
      </c>
      <c r="J78" s="71">
        <f t="shared" si="55"/>
        <v>0.5</v>
      </c>
      <c r="K78" s="500">
        <f t="shared" si="56"/>
        <v>2</v>
      </c>
      <c r="L78" s="223">
        <v>10.38</v>
      </c>
      <c r="N78" s="214">
        <v>0.3</v>
      </c>
      <c r="O78" s="193">
        <f t="shared" si="51"/>
        <v>7.5</v>
      </c>
      <c r="W78" s="214">
        <f t="shared" si="52"/>
        <v>0.47368421052631576</v>
      </c>
      <c r="X78" s="215">
        <f t="shared" si="53"/>
        <v>9.8610000000000007</v>
      </c>
      <c r="Z78" s="214">
        <f t="shared" si="57"/>
        <v>0.32999999999999996</v>
      </c>
      <c r="AA78" s="223">
        <f t="shared" si="54"/>
        <v>7.7470000000000008</v>
      </c>
    </row>
    <row r="79" spans="2:37" ht="16.5" customHeight="1" x14ac:dyDescent="0.35">
      <c r="C79" s="535"/>
      <c r="H79" s="192"/>
      <c r="J79" s="71"/>
      <c r="K79" s="221"/>
      <c r="L79" s="223"/>
      <c r="N79" s="214"/>
      <c r="O79" s="193"/>
      <c r="W79" s="214"/>
      <c r="X79" s="215"/>
      <c r="Z79" s="214"/>
      <c r="AA79" s="193"/>
      <c r="AC79" s="306"/>
      <c r="AD79" s="306"/>
      <c r="AE79" s="306"/>
      <c r="AF79" s="306"/>
      <c r="AG79" s="306"/>
    </row>
    <row r="80" spans="2:37" ht="16.5" customHeight="1" x14ac:dyDescent="0.35">
      <c r="B80" s="78"/>
      <c r="C80" s="536"/>
      <c r="D80" s="78" t="s">
        <v>91</v>
      </c>
      <c r="E80" s="78"/>
      <c r="F80" s="79"/>
      <c r="H80" s="192"/>
      <c r="J80" s="71"/>
      <c r="K80" s="221"/>
      <c r="L80" s="223"/>
      <c r="N80" s="214"/>
      <c r="O80" s="215"/>
      <c r="W80" s="214"/>
      <c r="X80" s="215"/>
      <c r="Z80" s="214"/>
      <c r="AA80" s="215"/>
      <c r="AC80" s="306"/>
      <c r="AD80" s="306"/>
      <c r="AE80" s="306"/>
      <c r="AF80" s="306"/>
      <c r="AG80" s="306"/>
    </row>
    <row r="81" spans="2:33" ht="16.5" customHeight="1" x14ac:dyDescent="0.35">
      <c r="C81" s="535"/>
      <c r="D81" s="56"/>
      <c r="E81" s="56"/>
      <c r="F81" s="65"/>
      <c r="G81" s="63"/>
      <c r="H81" s="205"/>
      <c r="J81" s="185"/>
      <c r="K81" s="185"/>
      <c r="L81" s="418"/>
      <c r="N81" s="219"/>
      <c r="O81" s="206"/>
      <c r="W81" s="219"/>
      <c r="X81" s="206"/>
      <c r="Z81" s="219"/>
      <c r="AA81" s="206"/>
      <c r="AC81" s="306">
        <v>1435</v>
      </c>
      <c r="AD81" s="306">
        <v>1645</v>
      </c>
      <c r="AE81" s="306">
        <v>1040</v>
      </c>
      <c r="AF81" s="306">
        <f>0.8*1717.88</f>
        <v>1374.3040000000001</v>
      </c>
      <c r="AG81" s="306"/>
    </row>
    <row r="82" spans="2:33" ht="16.5" customHeight="1" x14ac:dyDescent="0.35">
      <c r="B82" s="55" t="s">
        <v>92</v>
      </c>
      <c r="C82" s="535" t="s">
        <v>830</v>
      </c>
      <c r="D82" s="55" t="s">
        <v>93</v>
      </c>
      <c r="F82" s="62" t="s">
        <v>76</v>
      </c>
      <c r="H82" s="192">
        <v>2.95</v>
      </c>
      <c r="J82" s="71">
        <f>(L82-H82)/L82</f>
        <v>0.5</v>
      </c>
      <c r="K82" s="71"/>
      <c r="L82" s="223">
        <v>5.9</v>
      </c>
      <c r="N82" s="214">
        <v>0.3</v>
      </c>
      <c r="O82" s="193">
        <f>ROUNDUP(H82/-(N82-1),1)</f>
        <v>4.3</v>
      </c>
      <c r="W82" s="214">
        <f>(X82-H82)/X82</f>
        <v>0.47368421052631582</v>
      </c>
      <c r="X82" s="215">
        <f>(H82*$W$2)</f>
        <v>5.6050000000000004</v>
      </c>
      <c r="Z82" s="214">
        <f>N82+3/100</f>
        <v>0.32999999999999996</v>
      </c>
      <c r="AA82" s="223">
        <f>ROUNDUP(H82/-(Z82-1),3)</f>
        <v>4.4030000000000005</v>
      </c>
      <c r="AC82" s="306"/>
      <c r="AD82" s="306"/>
      <c r="AE82" s="306"/>
      <c r="AF82" s="306"/>
      <c r="AG82" s="306"/>
    </row>
    <row r="83" spans="2:33" ht="16.5" customHeight="1" x14ac:dyDescent="0.35">
      <c r="C83" s="535"/>
      <c r="H83" s="192"/>
      <c r="J83" s="71"/>
      <c r="K83" s="71"/>
      <c r="L83" s="223"/>
      <c r="N83" s="214"/>
      <c r="O83" s="193"/>
      <c r="W83" s="214"/>
      <c r="X83" s="193"/>
      <c r="Z83" s="214"/>
      <c r="AA83" s="193"/>
      <c r="AC83" s="306"/>
      <c r="AD83" s="306"/>
      <c r="AE83" s="306"/>
      <c r="AF83" s="306"/>
      <c r="AG83" s="306"/>
    </row>
    <row r="84" spans="2:33" ht="16.5" customHeight="1" x14ac:dyDescent="0.35">
      <c r="B84" s="73"/>
      <c r="C84" s="539"/>
      <c r="D84" s="73" t="s">
        <v>94</v>
      </c>
      <c r="E84" s="73"/>
      <c r="F84" s="74"/>
      <c r="G84" s="75"/>
      <c r="H84" s="202"/>
      <c r="J84" s="81"/>
      <c r="K84" s="81"/>
      <c r="L84" s="419"/>
      <c r="N84" s="198"/>
      <c r="O84" s="199"/>
      <c r="W84" s="217"/>
      <c r="X84" s="203"/>
      <c r="Z84" s="198"/>
      <c r="AA84" s="199"/>
      <c r="AC84" s="306"/>
      <c r="AD84" s="306"/>
      <c r="AE84" s="306">
        <v>1250</v>
      </c>
      <c r="AF84" s="306"/>
      <c r="AG84" s="306"/>
    </row>
    <row r="85" spans="2:33" ht="16.5" customHeight="1" x14ac:dyDescent="0.35">
      <c r="C85" s="535"/>
      <c r="D85" s="56"/>
      <c r="E85" s="56" t="s">
        <v>95</v>
      </c>
      <c r="F85" s="65"/>
      <c r="G85" s="57"/>
      <c r="H85" s="196"/>
      <c r="J85" s="71"/>
      <c r="K85" s="71"/>
      <c r="L85" s="415"/>
      <c r="N85" s="214"/>
      <c r="O85" s="197"/>
      <c r="W85" s="214"/>
      <c r="X85" s="197"/>
      <c r="Z85" s="214"/>
      <c r="AA85" s="197"/>
      <c r="AC85" s="306"/>
      <c r="AD85" s="306"/>
      <c r="AE85" s="306"/>
      <c r="AF85" s="306"/>
      <c r="AG85" s="306"/>
    </row>
    <row r="86" spans="2:33" ht="17.25" customHeight="1" x14ac:dyDescent="0.35">
      <c r="B86" s="78"/>
      <c r="C86" s="540"/>
      <c r="D86" s="78" t="s">
        <v>96</v>
      </c>
      <c r="E86" s="78"/>
      <c r="F86" s="79"/>
      <c r="H86" s="192"/>
      <c r="J86" s="71"/>
      <c r="K86" s="71"/>
      <c r="L86" s="223"/>
      <c r="N86" s="214"/>
      <c r="O86" s="193"/>
      <c r="W86" s="214"/>
      <c r="X86" s="193"/>
      <c r="Z86" s="214"/>
      <c r="AA86" s="193"/>
      <c r="AC86" s="306"/>
      <c r="AD86" s="306"/>
      <c r="AE86" s="306"/>
      <c r="AF86" s="306"/>
      <c r="AG86" s="306"/>
    </row>
    <row r="87" spans="2:33" x14ac:dyDescent="0.35">
      <c r="B87" s="55" t="s">
        <v>983</v>
      </c>
      <c r="C87" s="535" t="s">
        <v>831</v>
      </c>
      <c r="D87" s="55" t="s">
        <v>97</v>
      </c>
      <c r="F87" s="62" t="s">
        <v>76</v>
      </c>
      <c r="H87" s="192">
        <v>410</v>
      </c>
      <c r="J87" s="71">
        <f t="shared" ref="J87:J96" si="58">(L87-H87)/L87</f>
        <v>0.5</v>
      </c>
      <c r="K87" s="221">
        <f t="shared" ref="K87:K96" si="59">ROUNDUP(L87/H87,2)</f>
        <v>2</v>
      </c>
      <c r="L87" s="223">
        <v>820</v>
      </c>
      <c r="N87" s="214">
        <v>0.5</v>
      </c>
      <c r="O87" s="215">
        <f>ROUNDUP(H87/-(N87-1),1)</f>
        <v>820</v>
      </c>
      <c r="W87" s="214">
        <f>(X87-H87)/X87</f>
        <v>0.47368421052631576</v>
      </c>
      <c r="X87" s="215">
        <f>(H87*$W$2)</f>
        <v>779</v>
      </c>
      <c r="Z87" s="214">
        <v>0.5</v>
      </c>
      <c r="AA87" s="223">
        <f>ROUNDUP(H87/-(Z87-1),3)</f>
        <v>820</v>
      </c>
      <c r="AC87" s="306"/>
      <c r="AD87" s="306"/>
      <c r="AE87" s="306"/>
      <c r="AF87" s="306"/>
      <c r="AG87" s="306"/>
    </row>
    <row r="88" spans="2:33" ht="15.75" customHeight="1" x14ac:dyDescent="0.35">
      <c r="B88" s="55" t="s">
        <v>984</v>
      </c>
      <c r="C88" s="535" t="s">
        <v>832</v>
      </c>
      <c r="D88" s="55" t="s">
        <v>98</v>
      </c>
      <c r="F88" s="62" t="s">
        <v>76</v>
      </c>
      <c r="H88" s="192">
        <v>428</v>
      </c>
      <c r="J88" s="71">
        <f t="shared" si="58"/>
        <v>0.5040556199304751</v>
      </c>
      <c r="K88" s="221">
        <f t="shared" si="59"/>
        <v>2.0199999999999996</v>
      </c>
      <c r="L88" s="223">
        <v>863</v>
      </c>
      <c r="N88" s="214">
        <v>0.5</v>
      </c>
      <c r="O88" s="215">
        <f>ROUNDUP(H88/-(N88-1),1)</f>
        <v>856</v>
      </c>
      <c r="Q88">
        <f>0.8*(854-30-65.9-93.4)</f>
        <v>531.7600000000001</v>
      </c>
      <c r="S88">
        <v>707.25</v>
      </c>
      <c r="T88">
        <f>1117.25/2</f>
        <v>558.625</v>
      </c>
      <c r="V88" s="243"/>
      <c r="W88" s="214">
        <f>(X88-H88)/X88</f>
        <v>0.47368421052631576</v>
      </c>
      <c r="X88" s="215">
        <f>(H88*$W$2)</f>
        <v>813.19999999999993</v>
      </c>
      <c r="Z88" s="214">
        <v>0.5</v>
      </c>
      <c r="AA88" s="223">
        <f>ROUNDUP(H88/-(Z88-1),3)</f>
        <v>856</v>
      </c>
      <c r="AC88" s="306"/>
      <c r="AD88" s="306"/>
      <c r="AE88" s="306"/>
      <c r="AF88" s="306"/>
      <c r="AG88" s="306"/>
    </row>
    <row r="89" spans="2:33" ht="15.75" customHeight="1" x14ac:dyDescent="0.35">
      <c r="B89" s="55" t="s">
        <v>985</v>
      </c>
      <c r="C89" s="535" t="s">
        <v>833</v>
      </c>
      <c r="D89" s="55" t="s">
        <v>99</v>
      </c>
      <c r="F89" s="62" t="s">
        <v>76</v>
      </c>
      <c r="H89" s="192">
        <v>425</v>
      </c>
      <c r="J89" s="71">
        <f t="shared" si="58"/>
        <v>0.5</v>
      </c>
      <c r="K89" s="221">
        <f t="shared" si="59"/>
        <v>2</v>
      </c>
      <c r="L89" s="223">
        <v>850</v>
      </c>
      <c r="N89" s="214">
        <v>0.5</v>
      </c>
      <c r="O89" s="215">
        <f>ROUNDUP(H89/-(N89-1),1)</f>
        <v>850</v>
      </c>
      <c r="W89" s="214">
        <f>(X89-H89)/X89</f>
        <v>0.47368421052631576</v>
      </c>
      <c r="X89" s="215">
        <f>(H89*$W$2)</f>
        <v>807.5</v>
      </c>
      <c r="Z89" s="214">
        <v>0.5</v>
      </c>
      <c r="AA89" s="223">
        <f>ROUNDUP(H89/-(Z89-1),3)</f>
        <v>850</v>
      </c>
      <c r="AC89" s="306"/>
      <c r="AD89" s="306"/>
      <c r="AE89" s="306"/>
      <c r="AF89" s="306"/>
      <c r="AG89" s="306"/>
    </row>
    <row r="90" spans="2:33" ht="15.75" customHeight="1" x14ac:dyDescent="0.35">
      <c r="B90" s="55" t="s">
        <v>984</v>
      </c>
      <c r="C90" s="535" t="s">
        <v>832</v>
      </c>
      <c r="D90" s="55" t="s">
        <v>100</v>
      </c>
      <c r="F90" s="62" t="s">
        <v>76</v>
      </c>
      <c r="H90" s="192">
        <v>430</v>
      </c>
      <c r="J90" s="71">
        <f t="shared" si="58"/>
        <v>0.5</v>
      </c>
      <c r="K90" s="221">
        <f t="shared" si="59"/>
        <v>2</v>
      </c>
      <c r="L90" s="223">
        <v>860</v>
      </c>
      <c r="N90" s="214">
        <v>0.5</v>
      </c>
      <c r="O90" s="215">
        <f>ROUNDUP(H90/-(N90-1),1)</f>
        <v>860</v>
      </c>
      <c r="W90" s="214">
        <f>(X90-H90)/X90</f>
        <v>0.47368421052631576</v>
      </c>
      <c r="X90" s="215">
        <f>(H90*$W$2)</f>
        <v>817</v>
      </c>
      <c r="Z90" s="214">
        <v>0.5</v>
      </c>
      <c r="AA90" s="223">
        <f>ROUNDUP(H90/-(Z90-1),3)</f>
        <v>860</v>
      </c>
      <c r="AC90" s="306"/>
      <c r="AD90" s="306">
        <v>245</v>
      </c>
      <c r="AE90" s="306"/>
      <c r="AF90" s="306">
        <f>0.8*223.07</f>
        <v>178.45600000000002</v>
      </c>
      <c r="AG90" s="306">
        <v>180</v>
      </c>
    </row>
    <row r="91" spans="2:33" ht="15.75" customHeight="1" x14ac:dyDescent="0.35">
      <c r="C91" s="535"/>
      <c r="H91" s="192"/>
      <c r="J91" s="71"/>
      <c r="K91" s="221"/>
      <c r="L91" s="223"/>
      <c r="N91" s="214"/>
      <c r="O91" s="215"/>
      <c r="W91" s="214"/>
      <c r="X91" s="215"/>
      <c r="Z91" s="214"/>
      <c r="AA91" s="215"/>
      <c r="AC91" s="306"/>
      <c r="AD91" s="306"/>
      <c r="AE91" s="306"/>
      <c r="AF91" s="306"/>
      <c r="AG91" s="306"/>
    </row>
    <row r="92" spans="2:33" ht="15.75" customHeight="1" x14ac:dyDescent="0.35">
      <c r="B92" s="78"/>
      <c r="C92" s="540"/>
      <c r="D92" s="78" t="s">
        <v>101</v>
      </c>
      <c r="E92" s="78"/>
      <c r="F92" s="79"/>
      <c r="H92" s="192"/>
      <c r="J92" s="71"/>
      <c r="K92" s="221"/>
      <c r="L92" s="223"/>
      <c r="N92" s="214"/>
      <c r="O92" s="215"/>
      <c r="W92" s="214"/>
      <c r="X92" s="215"/>
      <c r="Z92" s="214"/>
      <c r="AA92" s="215"/>
      <c r="AC92" s="306"/>
      <c r="AD92" s="306"/>
      <c r="AE92" s="306"/>
      <c r="AF92" s="306"/>
      <c r="AG92" s="306"/>
    </row>
    <row r="93" spans="2:33" ht="15.75" customHeight="1" x14ac:dyDescent="0.35">
      <c r="B93" s="55" t="s">
        <v>986</v>
      </c>
      <c r="C93" s="535" t="s">
        <v>834</v>
      </c>
      <c r="D93" s="55" t="s">
        <v>102</v>
      </c>
      <c r="F93" s="62" t="s">
        <v>76</v>
      </c>
      <c r="H93" s="192">
        <v>764</v>
      </c>
      <c r="J93" s="71">
        <f t="shared" si="58"/>
        <v>0.49736842105263157</v>
      </c>
      <c r="K93" s="221">
        <f t="shared" si="59"/>
        <v>1.99</v>
      </c>
      <c r="L93" s="223">
        <v>1520</v>
      </c>
      <c r="N93" s="214">
        <v>0.5</v>
      </c>
      <c r="O93" s="215">
        <f>ROUNDUP(H93/-(N93-1),1)</f>
        <v>1528</v>
      </c>
      <c r="Q93">
        <f>0.8*(2498.97-41.7-65.9-93.9*2-253.9)</f>
        <v>1559.7359999999999</v>
      </c>
      <c r="W93" s="214">
        <f>(X93-H93)/X93</f>
        <v>0.47368421052631576</v>
      </c>
      <c r="X93" s="215">
        <f>(H93*$W$2)</f>
        <v>1451.6</v>
      </c>
      <c r="Z93" s="214">
        <v>0.5</v>
      </c>
      <c r="AA93" s="223">
        <f>ROUNDUP(H93/-(Z93-1),3)</f>
        <v>1528</v>
      </c>
      <c r="AC93" s="306"/>
      <c r="AD93" s="306"/>
      <c r="AE93" s="306"/>
      <c r="AF93" s="306"/>
      <c r="AG93" s="306"/>
    </row>
    <row r="94" spans="2:33" ht="15.75" customHeight="1" x14ac:dyDescent="0.35">
      <c r="B94" s="55" t="s">
        <v>987</v>
      </c>
      <c r="C94" s="535" t="s">
        <v>835</v>
      </c>
      <c r="D94" s="55" t="s">
        <v>103</v>
      </c>
      <c r="F94" s="62" t="s">
        <v>76</v>
      </c>
      <c r="H94" s="192">
        <v>794</v>
      </c>
      <c r="J94" s="71">
        <f t="shared" si="58"/>
        <v>0.50375000000000003</v>
      </c>
      <c r="K94" s="221">
        <f t="shared" si="59"/>
        <v>2.0199999999999996</v>
      </c>
      <c r="L94" s="223">
        <v>1600</v>
      </c>
      <c r="N94" s="214">
        <v>0.5</v>
      </c>
      <c r="O94" s="215">
        <f>ROUNDUP(H94/-(N94-1),1)</f>
        <v>1588</v>
      </c>
      <c r="W94" s="214">
        <f>(X94-H94)/X94</f>
        <v>0.47368421052631576</v>
      </c>
      <c r="X94" s="215">
        <f>(H94*$W$2)</f>
        <v>1508.6</v>
      </c>
      <c r="Z94" s="214">
        <v>0.5</v>
      </c>
      <c r="AA94" s="223">
        <f>ROUNDUP(H94/-(Z94-1),3)</f>
        <v>1588</v>
      </c>
      <c r="AC94" s="306"/>
      <c r="AD94" s="306"/>
      <c r="AE94" s="306"/>
      <c r="AF94" s="306"/>
      <c r="AG94" s="306"/>
    </row>
    <row r="95" spans="2:33" ht="15.75" customHeight="1" x14ac:dyDescent="0.35">
      <c r="B95" s="55" t="s">
        <v>988</v>
      </c>
      <c r="C95" s="535" t="s">
        <v>836</v>
      </c>
      <c r="D95" s="55" t="s">
        <v>104</v>
      </c>
      <c r="F95" s="62" t="s">
        <v>76</v>
      </c>
      <c r="H95" s="192">
        <v>760</v>
      </c>
      <c r="J95" s="71">
        <f t="shared" si="58"/>
        <v>0.50326797385620914</v>
      </c>
      <c r="K95" s="221">
        <f t="shared" si="59"/>
        <v>2.0199999999999996</v>
      </c>
      <c r="L95" s="223">
        <v>1530</v>
      </c>
      <c r="N95" s="214">
        <v>0.5</v>
      </c>
      <c r="O95" s="215">
        <f>ROUNDUP(H95/-(N95-1),1)</f>
        <v>1520</v>
      </c>
      <c r="W95" s="214">
        <f>(X95-H95)/X95</f>
        <v>0.47368421052631576</v>
      </c>
      <c r="X95" s="215">
        <f>(H95*$W$2)</f>
        <v>1444</v>
      </c>
      <c r="Z95" s="214">
        <v>0.5</v>
      </c>
      <c r="AA95" s="223">
        <f>ROUNDUP(H95/-(Z95-1),3)</f>
        <v>1520</v>
      </c>
      <c r="AC95" s="306"/>
      <c r="AD95" s="306"/>
      <c r="AE95" s="306"/>
      <c r="AF95" s="306"/>
      <c r="AG95" s="306"/>
    </row>
    <row r="96" spans="2:33" ht="15.75" customHeight="1" x14ac:dyDescent="0.35">
      <c r="B96" s="55" t="s">
        <v>989</v>
      </c>
      <c r="C96" s="535" t="s">
        <v>837</v>
      </c>
      <c r="D96" s="55" t="s">
        <v>105</v>
      </c>
      <c r="F96" s="62" t="s">
        <v>76</v>
      </c>
      <c r="H96" s="192">
        <v>830</v>
      </c>
      <c r="J96" s="71">
        <f t="shared" si="58"/>
        <v>0.5</v>
      </c>
      <c r="K96" s="221">
        <f t="shared" si="59"/>
        <v>2</v>
      </c>
      <c r="L96" s="223">
        <v>1660</v>
      </c>
      <c r="N96" s="214">
        <v>0.5</v>
      </c>
      <c r="O96" s="215">
        <f>ROUNDUP(H96/-(N96-1),1)</f>
        <v>1660</v>
      </c>
      <c r="T96">
        <v>1210</v>
      </c>
      <c r="W96" s="214">
        <f>(X96-H96)/X96</f>
        <v>0.47368421052631576</v>
      </c>
      <c r="X96" s="215">
        <f>(H96*$W$2)</f>
        <v>1577</v>
      </c>
      <c r="Z96" s="214">
        <v>0.5</v>
      </c>
      <c r="AA96" s="223">
        <f>ROUNDUP(H96/-(Z96-1),3)</f>
        <v>1660</v>
      </c>
      <c r="AC96" s="306"/>
      <c r="AD96" s="306"/>
      <c r="AE96" s="306"/>
      <c r="AF96" s="306"/>
      <c r="AG96" s="306"/>
    </row>
    <row r="97" spans="2:33" ht="15.75" customHeight="1" x14ac:dyDescent="0.35">
      <c r="C97" s="535"/>
      <c r="H97" s="192"/>
      <c r="J97" s="71"/>
      <c r="K97" s="221"/>
      <c r="L97" s="223"/>
      <c r="N97" s="214"/>
      <c r="O97" s="215"/>
      <c r="W97" s="214"/>
      <c r="X97" s="215"/>
      <c r="Z97" s="214"/>
      <c r="AA97" s="223"/>
      <c r="AC97" s="306"/>
      <c r="AD97" s="306"/>
      <c r="AE97" s="306"/>
      <c r="AF97" s="306"/>
      <c r="AG97" s="306"/>
    </row>
    <row r="98" spans="2:33" ht="15.75" customHeight="1" x14ac:dyDescent="0.35">
      <c r="B98" s="73"/>
      <c r="C98" s="539"/>
      <c r="D98" s="73" t="s">
        <v>106</v>
      </c>
      <c r="E98" s="73"/>
      <c r="F98" s="74"/>
      <c r="G98" s="75"/>
      <c r="H98" s="202"/>
      <c r="J98" s="81"/>
      <c r="K98" s="81"/>
      <c r="L98" s="419"/>
      <c r="N98" s="198"/>
      <c r="O98" s="199"/>
      <c r="W98" s="217"/>
      <c r="X98" s="203"/>
      <c r="Z98" s="198"/>
      <c r="AA98" s="199"/>
      <c r="AC98" s="306"/>
      <c r="AD98" s="306"/>
      <c r="AE98" s="306"/>
      <c r="AF98" s="306"/>
      <c r="AG98" s="306"/>
    </row>
    <row r="99" spans="2:33" ht="15.75" customHeight="1" x14ac:dyDescent="0.35">
      <c r="C99" s="535"/>
      <c r="D99" s="56"/>
      <c r="E99" s="56" t="s">
        <v>95</v>
      </c>
      <c r="F99" s="65"/>
      <c r="G99" s="57"/>
      <c r="H99" s="196"/>
      <c r="J99" s="71"/>
      <c r="K99" s="71"/>
      <c r="L99" s="415"/>
      <c r="N99" s="214"/>
      <c r="O99" s="197"/>
      <c r="W99" s="214"/>
      <c r="X99" s="197"/>
      <c r="Z99" s="214"/>
      <c r="AA99" s="197"/>
      <c r="AC99" s="306"/>
      <c r="AD99" s="306"/>
      <c r="AE99" s="306"/>
      <c r="AF99" s="306"/>
      <c r="AG99" s="306"/>
    </row>
    <row r="100" spans="2:33" ht="15.75" customHeight="1" x14ac:dyDescent="0.35">
      <c r="B100" s="78"/>
      <c r="C100" s="540"/>
      <c r="D100" s="78" t="s">
        <v>107</v>
      </c>
      <c r="E100" s="78"/>
      <c r="F100" s="79"/>
      <c r="H100" s="192"/>
      <c r="J100" s="71"/>
      <c r="K100" s="71"/>
      <c r="L100" s="223"/>
      <c r="N100" s="214"/>
      <c r="O100" s="193"/>
      <c r="W100" s="214"/>
      <c r="X100" s="193"/>
      <c r="Z100" s="214"/>
      <c r="AA100" s="193"/>
      <c r="AC100" s="306"/>
      <c r="AD100" s="306"/>
      <c r="AE100" s="306"/>
      <c r="AF100" s="306"/>
      <c r="AG100" s="306"/>
    </row>
    <row r="101" spans="2:33" ht="15.75" customHeight="1" x14ac:dyDescent="0.35">
      <c r="B101" s="55" t="s">
        <v>983</v>
      </c>
      <c r="C101" s="535" t="s">
        <v>838</v>
      </c>
      <c r="D101" s="55" t="s">
        <v>97</v>
      </c>
      <c r="F101" s="62" t="s">
        <v>76</v>
      </c>
      <c r="H101" s="204">
        <v>410</v>
      </c>
      <c r="J101" s="71">
        <f t="shared" ref="J101:J104" si="60">(L101-H101)/L101</f>
        <v>0.5</v>
      </c>
      <c r="K101" s="221">
        <f t="shared" ref="K101:K104" si="61">ROUNDUP(L101/H101,2)</f>
        <v>2</v>
      </c>
      <c r="L101" s="223">
        <v>820</v>
      </c>
      <c r="N101" s="214">
        <v>0.5</v>
      </c>
      <c r="O101" s="215">
        <f>ROUNDUP(H101/-(N101-1),1)</f>
        <v>820</v>
      </c>
      <c r="W101" s="214">
        <f>(X101-H101)/X101</f>
        <v>0.47368421052631576</v>
      </c>
      <c r="X101" s="215">
        <f>(H101*$W$2)</f>
        <v>779</v>
      </c>
      <c r="Z101" s="214">
        <v>0.5</v>
      </c>
      <c r="AA101" s="223">
        <f>ROUNDUP(H101/-(Z101-1),3)</f>
        <v>820</v>
      </c>
      <c r="AC101" s="306"/>
      <c r="AD101" s="306"/>
      <c r="AE101" s="306"/>
      <c r="AF101" s="306"/>
      <c r="AG101" s="306"/>
    </row>
    <row r="102" spans="2:33" ht="15.75" customHeight="1" x14ac:dyDescent="0.35">
      <c r="B102" s="55" t="s">
        <v>984</v>
      </c>
      <c r="C102" s="535" t="s">
        <v>839</v>
      </c>
      <c r="D102" s="55" t="s">
        <v>98</v>
      </c>
      <c r="F102" s="62" t="s">
        <v>76</v>
      </c>
      <c r="H102" s="204">
        <v>428</v>
      </c>
      <c r="J102" s="71">
        <f t="shared" si="60"/>
        <v>0.5040556199304751</v>
      </c>
      <c r="K102" s="221">
        <f t="shared" si="61"/>
        <v>2.0199999999999996</v>
      </c>
      <c r="L102" s="223">
        <v>863</v>
      </c>
      <c r="N102" s="214">
        <v>0.5</v>
      </c>
      <c r="O102" s="215">
        <f>ROUNDUP(H102/-(N102-1),1)</f>
        <v>856</v>
      </c>
      <c r="Q102">
        <f>0.8*(854-30-65.9-93.4)</f>
        <v>531.7600000000001</v>
      </c>
      <c r="S102">
        <v>707.25</v>
      </c>
      <c r="T102">
        <f>1117.25/2</f>
        <v>558.625</v>
      </c>
      <c r="V102" s="243"/>
      <c r="W102" s="214">
        <f>(X102-H102)/X102</f>
        <v>0.47368421052631576</v>
      </c>
      <c r="X102" s="215">
        <f>(H102*$W$2)</f>
        <v>813.19999999999993</v>
      </c>
      <c r="Z102" s="214">
        <v>0.5</v>
      </c>
      <c r="AA102" s="223">
        <f>ROUNDUP(H102/-(Z102-1),3)</f>
        <v>856</v>
      </c>
      <c r="AC102" s="306"/>
      <c r="AD102" s="306"/>
      <c r="AE102" s="306"/>
      <c r="AF102" s="306"/>
      <c r="AG102" s="306"/>
    </row>
    <row r="103" spans="2:33" ht="15.75" customHeight="1" x14ac:dyDescent="0.35">
      <c r="B103" s="55" t="s">
        <v>985</v>
      </c>
      <c r="C103" s="535" t="s">
        <v>840</v>
      </c>
      <c r="D103" s="55" t="s">
        <v>99</v>
      </c>
      <c r="F103" s="62" t="s">
        <v>76</v>
      </c>
      <c r="H103" s="204">
        <v>425</v>
      </c>
      <c r="J103" s="71">
        <f t="shared" si="60"/>
        <v>0.5</v>
      </c>
      <c r="K103" s="221">
        <f t="shared" si="61"/>
        <v>2</v>
      </c>
      <c r="L103" s="223">
        <v>850</v>
      </c>
      <c r="N103" s="214">
        <v>0.5</v>
      </c>
      <c r="O103" s="215">
        <f>ROUNDUP(H103/-(N103-1),1)</f>
        <v>850</v>
      </c>
      <c r="W103" s="214">
        <f>(X103-H103)/X103</f>
        <v>0.47368421052631576</v>
      </c>
      <c r="X103" s="215">
        <f>(H103*$W$2)</f>
        <v>807.5</v>
      </c>
      <c r="Z103" s="214">
        <v>0.5</v>
      </c>
      <c r="AA103" s="223">
        <f>ROUNDUP(H103/-(Z103-1),3)</f>
        <v>850</v>
      </c>
      <c r="AC103" s="306"/>
      <c r="AD103" s="306"/>
      <c r="AE103" s="306"/>
      <c r="AF103" s="306"/>
      <c r="AG103" s="306"/>
    </row>
    <row r="104" spans="2:33" ht="15.75" customHeight="1" x14ac:dyDescent="0.35">
      <c r="B104" s="55" t="s">
        <v>984</v>
      </c>
      <c r="C104" s="535" t="s">
        <v>839</v>
      </c>
      <c r="D104" s="55" t="s">
        <v>100</v>
      </c>
      <c r="F104" s="62" t="s">
        <v>76</v>
      </c>
      <c r="H104" s="204">
        <v>430</v>
      </c>
      <c r="J104" s="71">
        <f t="shared" si="60"/>
        <v>0.5</v>
      </c>
      <c r="K104" s="221">
        <f t="shared" si="61"/>
        <v>2</v>
      </c>
      <c r="L104" s="223">
        <v>860</v>
      </c>
      <c r="N104" s="214">
        <v>0.5</v>
      </c>
      <c r="O104" s="215">
        <f>ROUNDUP(H104/-(N104-1),1)</f>
        <v>860</v>
      </c>
      <c r="W104" s="214">
        <f>(X104-H104)/X104</f>
        <v>0.47368421052631576</v>
      </c>
      <c r="X104" s="215">
        <f>(H104*$W$2)</f>
        <v>817</v>
      </c>
      <c r="Z104" s="214">
        <v>0.5</v>
      </c>
      <c r="AA104" s="223">
        <f>ROUNDUP(H104/-(Z104-1),3)</f>
        <v>860</v>
      </c>
      <c r="AC104" s="306"/>
      <c r="AD104" s="306"/>
      <c r="AE104" s="306"/>
      <c r="AF104" s="306"/>
      <c r="AG104" s="306"/>
    </row>
    <row r="105" spans="2:33" ht="15.75" customHeight="1" x14ac:dyDescent="0.35">
      <c r="C105" s="535"/>
      <c r="H105" s="204"/>
      <c r="J105" s="71"/>
      <c r="K105" s="221"/>
      <c r="L105" s="223"/>
      <c r="N105" s="214"/>
      <c r="O105" s="215"/>
      <c r="W105" s="214"/>
      <c r="X105" s="215"/>
      <c r="Z105" s="214"/>
      <c r="AA105" s="215"/>
      <c r="AC105" s="306"/>
      <c r="AD105" s="306"/>
      <c r="AE105" s="306"/>
      <c r="AF105" s="306"/>
      <c r="AG105" s="306"/>
    </row>
    <row r="106" spans="2:33" ht="15.75" customHeight="1" x14ac:dyDescent="0.35">
      <c r="B106" s="78"/>
      <c r="C106" s="540"/>
      <c r="D106" s="78" t="s">
        <v>108</v>
      </c>
      <c r="E106" s="78"/>
      <c r="F106" s="79"/>
      <c r="H106" s="204"/>
      <c r="J106" s="71"/>
      <c r="K106" s="221"/>
      <c r="L106" s="223"/>
      <c r="N106" s="214"/>
      <c r="O106" s="215"/>
      <c r="W106" s="214"/>
      <c r="X106" s="215"/>
      <c r="Z106" s="214"/>
      <c r="AA106" s="215"/>
      <c r="AC106" s="306"/>
      <c r="AD106" s="306"/>
      <c r="AE106" s="306"/>
      <c r="AF106" s="306"/>
      <c r="AG106" s="306"/>
    </row>
    <row r="107" spans="2:33" ht="15.75" customHeight="1" x14ac:dyDescent="0.35">
      <c r="B107" s="55" t="s">
        <v>986</v>
      </c>
      <c r="C107" s="535" t="s">
        <v>841</v>
      </c>
      <c r="D107" s="55" t="s">
        <v>102</v>
      </c>
      <c r="F107" s="62" t="s">
        <v>76</v>
      </c>
      <c r="H107" s="204">
        <v>764</v>
      </c>
      <c r="J107" s="71">
        <f t="shared" ref="J107:J110" si="62">(L107-H107)/L107</f>
        <v>0.49736842105263157</v>
      </c>
      <c r="K107" s="221">
        <f t="shared" ref="K107:K110" si="63">ROUNDUP(L107/H107,2)</f>
        <v>1.99</v>
      </c>
      <c r="L107" s="223">
        <v>1520</v>
      </c>
      <c r="N107" s="214">
        <v>0.5</v>
      </c>
      <c r="O107" s="215">
        <f>ROUNDUP(H107/-(N107-1),1)</f>
        <v>1528</v>
      </c>
      <c r="Q107">
        <f>0.8*(2498.97-41.7-65.9-93.9*2-253.9)</f>
        <v>1559.7359999999999</v>
      </c>
      <c r="W107" s="214">
        <f>(X107-H107)/X107</f>
        <v>0.47368421052631576</v>
      </c>
      <c r="X107" s="215">
        <f>(H107*$W$2)</f>
        <v>1451.6</v>
      </c>
      <c r="Z107" s="214">
        <v>0.5</v>
      </c>
      <c r="AA107" s="223">
        <f>ROUNDUP(H107/-(Z107-1),3)</f>
        <v>1528</v>
      </c>
      <c r="AC107" s="306"/>
      <c r="AD107" s="306"/>
      <c r="AE107" s="306"/>
      <c r="AF107" s="306"/>
      <c r="AG107" s="306"/>
    </row>
    <row r="108" spans="2:33" ht="15.75" customHeight="1" x14ac:dyDescent="0.35">
      <c r="B108" s="55" t="s">
        <v>987</v>
      </c>
      <c r="C108" s="535" t="s">
        <v>842</v>
      </c>
      <c r="D108" s="55" t="s">
        <v>103</v>
      </c>
      <c r="F108" s="62" t="s">
        <v>76</v>
      </c>
      <c r="H108" s="204">
        <v>794</v>
      </c>
      <c r="J108" s="71">
        <f t="shared" si="62"/>
        <v>0.50375000000000003</v>
      </c>
      <c r="K108" s="221">
        <f t="shared" si="63"/>
        <v>2.0199999999999996</v>
      </c>
      <c r="L108" s="223">
        <v>1600</v>
      </c>
      <c r="N108" s="214">
        <v>0.5</v>
      </c>
      <c r="O108" s="215">
        <f>ROUNDUP(H108/-(N108-1),1)</f>
        <v>1588</v>
      </c>
      <c r="W108" s="214">
        <f>(X108-H108)/X108</f>
        <v>0.47368421052631576</v>
      </c>
      <c r="X108" s="215">
        <f>(H108*$W$2)</f>
        <v>1508.6</v>
      </c>
      <c r="Z108" s="214">
        <v>0.5</v>
      </c>
      <c r="AA108" s="223">
        <f>ROUNDUP(H108/-(Z108-1),3)</f>
        <v>1588</v>
      </c>
      <c r="AC108" s="306"/>
      <c r="AD108" s="306"/>
      <c r="AE108" s="306"/>
      <c r="AF108" s="306"/>
      <c r="AG108" s="306"/>
    </row>
    <row r="109" spans="2:33" ht="15.75" customHeight="1" x14ac:dyDescent="0.35">
      <c r="B109" s="55" t="s">
        <v>988</v>
      </c>
      <c r="C109" s="535" t="s">
        <v>843</v>
      </c>
      <c r="D109" s="55" t="s">
        <v>104</v>
      </c>
      <c r="F109" s="62" t="s">
        <v>76</v>
      </c>
      <c r="H109" s="204">
        <v>760</v>
      </c>
      <c r="J109" s="71">
        <f t="shared" si="62"/>
        <v>0.50326797385620914</v>
      </c>
      <c r="K109" s="221">
        <f t="shared" si="63"/>
        <v>2.0199999999999996</v>
      </c>
      <c r="L109" s="223">
        <v>1530</v>
      </c>
      <c r="N109" s="214">
        <v>0.5</v>
      </c>
      <c r="O109" s="215">
        <f>ROUNDUP(H109/-(N109-1),1)</f>
        <v>1520</v>
      </c>
      <c r="W109" s="214">
        <f>(X109-H109)/X109</f>
        <v>0.47368421052631576</v>
      </c>
      <c r="X109" s="215">
        <f>(H109*$W$2)</f>
        <v>1444</v>
      </c>
      <c r="Z109" s="214">
        <v>0.5</v>
      </c>
      <c r="AA109" s="223">
        <f>ROUNDUP(H109/-(Z109-1),3)</f>
        <v>1520</v>
      </c>
      <c r="AC109" s="306"/>
      <c r="AD109" s="306"/>
      <c r="AE109" s="306"/>
      <c r="AF109" s="306"/>
      <c r="AG109" s="306"/>
    </row>
    <row r="110" spans="2:33" ht="15.75" customHeight="1" x14ac:dyDescent="0.35">
      <c r="B110" s="55" t="s">
        <v>989</v>
      </c>
      <c r="C110" s="535" t="s">
        <v>844</v>
      </c>
      <c r="D110" s="55" t="s">
        <v>105</v>
      </c>
      <c r="F110" s="62" t="s">
        <v>76</v>
      </c>
      <c r="H110" s="204">
        <v>830</v>
      </c>
      <c r="J110" s="71">
        <f t="shared" si="62"/>
        <v>0.5</v>
      </c>
      <c r="K110" s="221">
        <f t="shared" si="63"/>
        <v>2</v>
      </c>
      <c r="L110" s="223">
        <v>1660</v>
      </c>
      <c r="N110" s="214">
        <v>0.5</v>
      </c>
      <c r="O110" s="215">
        <f>ROUNDUP(H110/-(N110-1),1)</f>
        <v>1660</v>
      </c>
      <c r="T110">
        <v>1210</v>
      </c>
      <c r="W110" s="214">
        <f>(X110-H110)/X110</f>
        <v>0.47368421052631576</v>
      </c>
      <c r="X110" s="215">
        <f>(H110*$W$2)</f>
        <v>1577</v>
      </c>
      <c r="Z110" s="214">
        <v>0.5</v>
      </c>
      <c r="AA110" s="223">
        <f>ROUNDUP(H110/-(Z110-1),3)</f>
        <v>1660</v>
      </c>
      <c r="AC110" s="306"/>
      <c r="AD110" s="306"/>
      <c r="AE110" s="306"/>
      <c r="AF110" s="306"/>
      <c r="AG110" s="306"/>
    </row>
    <row r="111" spans="2:33" ht="15.75" customHeight="1" x14ac:dyDescent="0.35">
      <c r="C111" s="535"/>
      <c r="H111" s="204"/>
      <c r="J111" s="71"/>
      <c r="K111" s="221"/>
      <c r="L111" s="223"/>
      <c r="N111" s="214"/>
      <c r="O111" s="215"/>
      <c r="W111" s="214"/>
      <c r="X111" s="215"/>
      <c r="Z111" s="214"/>
      <c r="AA111" s="223"/>
      <c r="AC111" s="306"/>
      <c r="AD111" s="306"/>
      <c r="AE111" s="306"/>
      <c r="AF111" s="306"/>
      <c r="AG111" s="306"/>
    </row>
    <row r="112" spans="2:33" x14ac:dyDescent="0.35">
      <c r="B112" s="73"/>
      <c r="C112" s="539"/>
      <c r="D112" s="73" t="s">
        <v>109</v>
      </c>
      <c r="E112" s="73"/>
      <c r="F112" s="74"/>
      <c r="G112" s="75"/>
      <c r="H112" s="202"/>
      <c r="J112" s="81"/>
      <c r="K112" s="81"/>
      <c r="L112" s="419"/>
      <c r="N112" s="198"/>
      <c r="O112" s="199"/>
      <c r="W112" s="217"/>
      <c r="X112" s="203"/>
      <c r="Z112" s="198"/>
      <c r="AA112" s="199"/>
      <c r="AC112" s="306"/>
      <c r="AD112" s="306"/>
      <c r="AE112" s="306"/>
      <c r="AF112" s="306"/>
      <c r="AG112" s="306"/>
    </row>
    <row r="113" spans="2:35" ht="15.75" customHeight="1" x14ac:dyDescent="0.35">
      <c r="C113" s="535"/>
      <c r="D113" s="56"/>
      <c r="E113" s="56" t="s">
        <v>95</v>
      </c>
      <c r="F113" s="65"/>
      <c r="G113" s="57"/>
      <c r="H113" s="196"/>
      <c r="J113" s="71"/>
      <c r="K113" s="71"/>
      <c r="L113" s="415"/>
      <c r="N113" s="214"/>
      <c r="O113" s="197"/>
      <c r="W113" s="214"/>
      <c r="X113" s="197"/>
      <c r="Z113" s="214"/>
      <c r="AA113" s="197"/>
      <c r="AC113" s="306"/>
      <c r="AD113" s="306">
        <v>4780</v>
      </c>
      <c r="AE113" s="306"/>
      <c r="AF113" s="306">
        <f>0.8*6513.12</f>
        <v>5210.4960000000001</v>
      </c>
      <c r="AG113" s="306"/>
    </row>
    <row r="114" spans="2:35" ht="15.75" customHeight="1" x14ac:dyDescent="0.35">
      <c r="B114" s="78"/>
      <c r="C114" s="540"/>
      <c r="D114" s="78" t="s">
        <v>110</v>
      </c>
      <c r="E114" s="78"/>
      <c r="F114" s="79"/>
      <c r="H114" s="192"/>
      <c r="J114" s="71"/>
      <c r="K114" s="71"/>
      <c r="L114" s="223"/>
      <c r="N114" s="214"/>
      <c r="O114" s="193"/>
      <c r="W114" s="214"/>
      <c r="X114" s="193"/>
      <c r="Z114" s="214"/>
      <c r="AA114" s="193"/>
      <c r="AC114" s="306"/>
      <c r="AD114" s="306"/>
      <c r="AE114" s="306"/>
      <c r="AF114" s="306">
        <f>0.8*6710.49</f>
        <v>5368.3919999999998</v>
      </c>
      <c r="AG114" s="306"/>
    </row>
    <row r="115" spans="2:35" ht="15.75" customHeight="1" x14ac:dyDescent="0.35">
      <c r="B115" s="55" t="s">
        <v>983</v>
      </c>
      <c r="C115" s="535" t="s">
        <v>845</v>
      </c>
      <c r="D115" s="55" t="s">
        <v>97</v>
      </c>
      <c r="F115" s="62" t="s">
        <v>76</v>
      </c>
      <c r="H115" s="204">
        <v>410</v>
      </c>
      <c r="J115" s="71">
        <f t="shared" ref="J115:J118" si="64">(L115-H115)/L115</f>
        <v>0.5</v>
      </c>
      <c r="K115" s="221">
        <f t="shared" ref="K115:K118" si="65">ROUNDUP(L115/H115,2)</f>
        <v>2</v>
      </c>
      <c r="L115" s="223">
        <v>820</v>
      </c>
      <c r="N115" s="214">
        <v>0.5</v>
      </c>
      <c r="O115" s="215">
        <f>ROUNDUP(H115/-(N115-1),1)</f>
        <v>820</v>
      </c>
      <c r="W115" s="214">
        <f>(X115-H115)/X115</f>
        <v>0.47368421052631576</v>
      </c>
      <c r="X115" s="215">
        <f>(H115*$W$2)</f>
        <v>779</v>
      </c>
      <c r="Z115" s="214">
        <v>0.5</v>
      </c>
      <c r="AA115" s="223">
        <f>ROUNDUP(H115/-(Z115-1),3)</f>
        <v>820</v>
      </c>
      <c r="AC115" s="306"/>
      <c r="AD115" s="306"/>
      <c r="AE115" s="306"/>
      <c r="AF115" s="306">
        <f>0.8*7039.43</f>
        <v>5631.5440000000008</v>
      </c>
      <c r="AG115" s="306"/>
    </row>
    <row r="116" spans="2:35" ht="17.25" customHeight="1" x14ac:dyDescent="0.35">
      <c r="B116" s="55" t="s">
        <v>984</v>
      </c>
      <c r="C116" s="535" t="s">
        <v>846</v>
      </c>
      <c r="D116" s="55" t="s">
        <v>98</v>
      </c>
      <c r="F116" s="62" t="s">
        <v>76</v>
      </c>
      <c r="H116" s="204">
        <v>428</v>
      </c>
      <c r="J116" s="71">
        <f t="shared" si="64"/>
        <v>0.5040556199304751</v>
      </c>
      <c r="K116" s="221">
        <f t="shared" si="65"/>
        <v>2.0199999999999996</v>
      </c>
      <c r="L116" s="223">
        <v>863</v>
      </c>
      <c r="N116" s="214">
        <v>0.5</v>
      </c>
      <c r="O116" s="215">
        <f>ROUNDUP(H116/-(N116-1),1)</f>
        <v>856</v>
      </c>
      <c r="Q116">
        <f>0.8*(854-30-65.9-93.4)</f>
        <v>531.7600000000001</v>
      </c>
      <c r="S116">
        <v>707.25</v>
      </c>
      <c r="T116">
        <f>1117.25/2</f>
        <v>558.625</v>
      </c>
      <c r="V116" s="243"/>
      <c r="W116" s="214">
        <f>(X116-H116)/X116</f>
        <v>0.47368421052631576</v>
      </c>
      <c r="X116" s="215">
        <f>(H116*$W$2)</f>
        <v>813.19999999999993</v>
      </c>
      <c r="Z116" s="214">
        <v>0.5</v>
      </c>
      <c r="AA116" s="223">
        <f>ROUNDUP(H116/-(Z116-1),3)</f>
        <v>856</v>
      </c>
      <c r="AC116" s="306"/>
      <c r="AD116" s="306"/>
      <c r="AE116" s="306"/>
      <c r="AF116" s="306"/>
      <c r="AG116" s="306"/>
    </row>
    <row r="117" spans="2:35" ht="18" customHeight="1" x14ac:dyDescent="0.35">
      <c r="B117" s="55" t="s">
        <v>985</v>
      </c>
      <c r="C117" s="535" t="s">
        <v>847</v>
      </c>
      <c r="D117" s="55" t="s">
        <v>99</v>
      </c>
      <c r="F117" s="62" t="s">
        <v>76</v>
      </c>
      <c r="H117" s="204">
        <v>425</v>
      </c>
      <c r="J117" s="71">
        <f t="shared" si="64"/>
        <v>0.5</v>
      </c>
      <c r="K117" s="221">
        <f t="shared" si="65"/>
        <v>2</v>
      </c>
      <c r="L117" s="223">
        <v>850</v>
      </c>
      <c r="N117" s="214">
        <v>0.5</v>
      </c>
      <c r="O117" s="215">
        <f>ROUNDUP(H117/-(N117-1),1)</f>
        <v>850</v>
      </c>
      <c r="W117" s="214">
        <f>(X117-H117)/X117</f>
        <v>0.47368421052631576</v>
      </c>
      <c r="X117" s="215">
        <f>(H117*$W$2)</f>
        <v>807.5</v>
      </c>
      <c r="Z117" s="214">
        <v>0.5</v>
      </c>
      <c r="AA117" s="223">
        <f>ROUNDUP(H117/-(Z117-1),3)</f>
        <v>850</v>
      </c>
      <c r="AC117" s="306"/>
      <c r="AD117" s="306"/>
      <c r="AE117" s="306"/>
      <c r="AF117" s="306"/>
      <c r="AG117" s="306"/>
    </row>
    <row r="118" spans="2:35" x14ac:dyDescent="0.35">
      <c r="B118" s="55" t="s">
        <v>984</v>
      </c>
      <c r="C118" s="535" t="s">
        <v>846</v>
      </c>
      <c r="D118" s="55" t="s">
        <v>100</v>
      </c>
      <c r="F118" s="62" t="s">
        <v>76</v>
      </c>
      <c r="H118" s="204">
        <v>430</v>
      </c>
      <c r="J118" s="71">
        <f t="shared" si="64"/>
        <v>0.5</v>
      </c>
      <c r="K118" s="221">
        <f t="shared" si="65"/>
        <v>2</v>
      </c>
      <c r="L118" s="223">
        <v>860</v>
      </c>
      <c r="N118" s="214">
        <v>0.5</v>
      </c>
      <c r="O118" s="215">
        <f>ROUNDUP(H118/-(N118-1),1)</f>
        <v>860</v>
      </c>
      <c r="W118" s="214">
        <f>(X118-H118)/X118</f>
        <v>0.47368421052631576</v>
      </c>
      <c r="X118" s="215">
        <f>(H118*$W$2)</f>
        <v>817</v>
      </c>
      <c r="Z118" s="214">
        <v>0.5</v>
      </c>
      <c r="AA118" s="223">
        <f>ROUNDUP(H118/-(Z118-1),3)</f>
        <v>860</v>
      </c>
      <c r="AC118" s="306"/>
      <c r="AD118" s="306"/>
      <c r="AE118" s="306"/>
      <c r="AF118" s="306"/>
      <c r="AG118" s="306"/>
    </row>
    <row r="119" spans="2:35" x14ac:dyDescent="0.35">
      <c r="C119" s="535"/>
      <c r="H119" s="204"/>
      <c r="J119" s="71"/>
      <c r="K119" s="221"/>
      <c r="L119" s="223"/>
      <c r="N119" s="214"/>
      <c r="O119" s="215"/>
      <c r="W119" s="214"/>
      <c r="X119" s="215"/>
      <c r="Z119" s="214"/>
      <c r="AA119" s="215"/>
      <c r="AC119" s="306"/>
      <c r="AD119" s="306"/>
      <c r="AE119" s="306"/>
      <c r="AF119" s="306"/>
      <c r="AG119" s="306"/>
    </row>
    <row r="120" spans="2:35" x14ac:dyDescent="0.35">
      <c r="B120" s="78"/>
      <c r="C120" s="540"/>
      <c r="D120" s="78" t="s">
        <v>111</v>
      </c>
      <c r="E120" s="78"/>
      <c r="F120" s="79"/>
      <c r="H120" s="204"/>
      <c r="J120" s="71"/>
      <c r="K120" s="221"/>
      <c r="L120" s="223"/>
      <c r="N120" s="214"/>
      <c r="O120" s="215"/>
      <c r="W120" s="214"/>
      <c r="X120" s="215"/>
      <c r="Z120" s="214"/>
      <c r="AA120" s="215"/>
      <c r="AC120" s="306"/>
      <c r="AD120" s="306"/>
      <c r="AE120" s="306"/>
      <c r="AF120" s="306"/>
      <c r="AG120" s="306"/>
      <c r="AI120" s="304"/>
    </row>
    <row r="121" spans="2:35" x14ac:dyDescent="0.35">
      <c r="B121" s="55" t="s">
        <v>986</v>
      </c>
      <c r="C121" s="535" t="s">
        <v>848</v>
      </c>
      <c r="D121" s="55" t="s">
        <v>102</v>
      </c>
      <c r="F121" s="62" t="s">
        <v>76</v>
      </c>
      <c r="H121" s="204">
        <v>764</v>
      </c>
      <c r="J121" s="71">
        <f t="shared" ref="J121:J124" si="66">(L121-H121)/L121</f>
        <v>0.49736842105263157</v>
      </c>
      <c r="K121" s="221">
        <f t="shared" ref="K121:K124" si="67">ROUNDUP(L121/H121,2)</f>
        <v>1.99</v>
      </c>
      <c r="L121" s="223">
        <v>1520</v>
      </c>
      <c r="N121" s="214">
        <v>0.5</v>
      </c>
      <c r="O121" s="215">
        <f>ROUNDUP(H121/-(N121-1),1)</f>
        <v>1528</v>
      </c>
      <c r="Q121">
        <f>0.8*(2498.97-41.7-65.9-93.9*2-253.9)</f>
        <v>1559.7359999999999</v>
      </c>
      <c r="W121" s="214">
        <f>(X121-H121)/X121</f>
        <v>0.47368421052631576</v>
      </c>
      <c r="X121" s="215">
        <f>(H121*$W$2)</f>
        <v>1451.6</v>
      </c>
      <c r="Z121" s="214">
        <v>0.5</v>
      </c>
      <c r="AA121" s="223">
        <f>ROUNDUP(H121/-(Z121-1),3)</f>
        <v>1528</v>
      </c>
      <c r="AC121" s="306"/>
      <c r="AD121" s="306"/>
      <c r="AE121" s="306"/>
      <c r="AF121" s="306"/>
      <c r="AG121" s="306"/>
    </row>
    <row r="122" spans="2:35" x14ac:dyDescent="0.35">
      <c r="B122" s="55" t="s">
        <v>987</v>
      </c>
      <c r="C122" s="535" t="s">
        <v>849</v>
      </c>
      <c r="D122" s="55" t="s">
        <v>103</v>
      </c>
      <c r="F122" s="62" t="s">
        <v>76</v>
      </c>
      <c r="H122" s="204">
        <v>794</v>
      </c>
      <c r="J122" s="71">
        <f t="shared" si="66"/>
        <v>0.50375000000000003</v>
      </c>
      <c r="K122" s="221">
        <f t="shared" si="67"/>
        <v>2.0199999999999996</v>
      </c>
      <c r="L122" s="223">
        <v>1600</v>
      </c>
      <c r="N122" s="214">
        <v>0.5</v>
      </c>
      <c r="O122" s="215">
        <f>ROUNDUP(H122/-(N122-1),1)</f>
        <v>1588</v>
      </c>
      <c r="W122" s="214">
        <f>(X122-H122)/X122</f>
        <v>0.47368421052631576</v>
      </c>
      <c r="X122" s="215">
        <f>(H122*$W$2)</f>
        <v>1508.6</v>
      </c>
      <c r="Z122" s="214">
        <v>0.5</v>
      </c>
      <c r="AA122" s="223">
        <f>ROUNDUP(H122/-(Z122-1),3)</f>
        <v>1588</v>
      </c>
      <c r="AC122" s="306"/>
      <c r="AD122" s="306"/>
      <c r="AE122" s="306"/>
      <c r="AF122" s="306"/>
      <c r="AG122" s="306"/>
    </row>
    <row r="123" spans="2:35" x14ac:dyDescent="0.35">
      <c r="B123" s="55" t="s">
        <v>988</v>
      </c>
      <c r="C123" s="535" t="s">
        <v>850</v>
      </c>
      <c r="D123" s="55" t="s">
        <v>104</v>
      </c>
      <c r="F123" s="62" t="s">
        <v>76</v>
      </c>
      <c r="H123" s="204">
        <v>760</v>
      </c>
      <c r="J123" s="71">
        <f t="shared" si="66"/>
        <v>0.50326797385620914</v>
      </c>
      <c r="K123" s="221">
        <f t="shared" si="67"/>
        <v>2.0199999999999996</v>
      </c>
      <c r="L123" s="223">
        <v>1530</v>
      </c>
      <c r="N123" s="214">
        <v>0.5</v>
      </c>
      <c r="O123" s="215">
        <f>ROUNDUP(H123/-(N123-1),1)</f>
        <v>1520</v>
      </c>
      <c r="W123" s="214">
        <f>(X123-H123)/X123</f>
        <v>0.47368421052631576</v>
      </c>
      <c r="X123" s="215">
        <f>(H123*$W$2)</f>
        <v>1444</v>
      </c>
      <c r="Z123" s="214">
        <v>0.5</v>
      </c>
      <c r="AA123" s="223">
        <f>ROUNDUP(H123/-(Z123-1),3)</f>
        <v>1520</v>
      </c>
      <c r="AC123" s="306"/>
      <c r="AD123" s="306"/>
      <c r="AE123" s="306"/>
      <c r="AF123" s="306"/>
      <c r="AG123" s="306"/>
    </row>
    <row r="124" spans="2:35" x14ac:dyDescent="0.35">
      <c r="B124" s="55" t="s">
        <v>989</v>
      </c>
      <c r="C124" s="535" t="s">
        <v>851</v>
      </c>
      <c r="D124" s="55" t="s">
        <v>105</v>
      </c>
      <c r="F124" s="62" t="s">
        <v>76</v>
      </c>
      <c r="H124" s="204">
        <v>830</v>
      </c>
      <c r="J124" s="71">
        <f t="shared" si="66"/>
        <v>0.5</v>
      </c>
      <c r="K124" s="221">
        <f t="shared" si="67"/>
        <v>2</v>
      </c>
      <c r="L124" s="223">
        <v>1660</v>
      </c>
      <c r="N124" s="214">
        <v>0.5</v>
      </c>
      <c r="O124" s="215">
        <f>ROUNDUP(H124/-(N124-1),1)</f>
        <v>1660</v>
      </c>
      <c r="T124">
        <v>1210</v>
      </c>
      <c r="W124" s="214">
        <f>(X124-H124)/X124</f>
        <v>0.47368421052631576</v>
      </c>
      <c r="X124" s="215">
        <f>(H124*$W$2)</f>
        <v>1577</v>
      </c>
      <c r="Z124" s="214">
        <v>0.5</v>
      </c>
      <c r="AA124" s="223">
        <f>ROUNDUP(H124/-(Z124-1),3)</f>
        <v>1660</v>
      </c>
      <c r="AC124" s="306"/>
      <c r="AD124" s="306"/>
      <c r="AE124" s="306"/>
      <c r="AF124" s="306"/>
      <c r="AG124" s="306"/>
    </row>
    <row r="125" spans="2:35" x14ac:dyDescent="0.35">
      <c r="C125" s="535"/>
      <c r="H125" s="192"/>
      <c r="J125" s="71"/>
      <c r="K125" s="71"/>
      <c r="L125" s="223"/>
      <c r="N125" s="214"/>
      <c r="O125" s="193"/>
      <c r="W125" s="214"/>
      <c r="X125" s="193"/>
      <c r="Z125" s="214"/>
      <c r="AA125" s="193"/>
      <c r="AC125" s="306"/>
      <c r="AD125" s="306"/>
      <c r="AE125" s="306"/>
      <c r="AF125" s="306"/>
      <c r="AG125" s="306"/>
    </row>
    <row r="126" spans="2:35" ht="18" customHeight="1" x14ac:dyDescent="0.35">
      <c r="B126" s="64"/>
      <c r="C126" s="541"/>
      <c r="D126" s="64" t="s">
        <v>112</v>
      </c>
      <c r="E126" s="64"/>
      <c r="F126" s="64"/>
      <c r="H126" s="192"/>
      <c r="J126" s="71"/>
      <c r="K126" s="71"/>
      <c r="L126" s="223"/>
      <c r="N126" s="214"/>
      <c r="O126" s="193"/>
      <c r="W126" s="214"/>
      <c r="X126" s="193"/>
      <c r="Z126" s="214"/>
      <c r="AA126" s="193"/>
      <c r="AC126" s="306"/>
      <c r="AD126" s="306"/>
      <c r="AE126" s="306"/>
      <c r="AF126" s="306"/>
      <c r="AG126" s="306"/>
    </row>
    <row r="127" spans="2:35" ht="18" customHeight="1" x14ac:dyDescent="0.35">
      <c r="B127" s="229"/>
      <c r="C127" s="538" t="s">
        <v>852</v>
      </c>
      <c r="D127" s="55" t="s">
        <v>113</v>
      </c>
      <c r="F127" s="62" t="s">
        <v>76</v>
      </c>
      <c r="H127" s="192">
        <v>18</v>
      </c>
      <c r="J127" s="71">
        <f t="shared" ref="J127:J140" si="68">(L127-H127)/L127</f>
        <v>0.5</v>
      </c>
      <c r="K127" s="221">
        <f t="shared" ref="K127" si="69">ROUNDUP(L127/H127,2)</f>
        <v>2</v>
      </c>
      <c r="L127" s="223">
        <v>36</v>
      </c>
      <c r="N127" s="214">
        <v>0.5</v>
      </c>
      <c r="O127" s="215">
        <f t="shared" ref="O127:O136" si="70">ROUNDUP(H127/-(N127-1),1)</f>
        <v>36</v>
      </c>
      <c r="W127" s="214">
        <f>(X127-H127)/X127</f>
        <v>0.47368421052631571</v>
      </c>
      <c r="X127" s="215">
        <f t="shared" ref="X127:X136" si="71">(H127*$W$2)</f>
        <v>34.199999999999996</v>
      </c>
      <c r="Z127" s="214">
        <v>0.5</v>
      </c>
      <c r="AA127" s="223">
        <f t="shared" ref="AA127:AA136" si="72">ROUNDUP(H127/-(Z127-1),3)</f>
        <v>36</v>
      </c>
      <c r="AC127" s="306"/>
      <c r="AD127" s="306"/>
      <c r="AE127" s="306"/>
      <c r="AF127" s="306"/>
      <c r="AG127" s="306"/>
    </row>
    <row r="128" spans="2:35" x14ac:dyDescent="0.35">
      <c r="B128" s="229"/>
      <c r="C128" s="538" t="s">
        <v>853</v>
      </c>
      <c r="D128" s="55" t="s">
        <v>114</v>
      </c>
      <c r="F128" s="62" t="s">
        <v>76</v>
      </c>
      <c r="H128" s="192">
        <v>26.5</v>
      </c>
      <c r="J128" s="71">
        <f t="shared" ref="J128" si="73">(L128-H128)/L128</f>
        <v>0.5</v>
      </c>
      <c r="K128" s="221">
        <f t="shared" ref="K128:K145" si="74">ROUNDUP(L128/H128,2)</f>
        <v>2</v>
      </c>
      <c r="L128" s="223">
        <v>53</v>
      </c>
      <c r="N128" s="214">
        <v>0.5</v>
      </c>
      <c r="O128" s="215">
        <f t="shared" si="70"/>
        <v>53</v>
      </c>
      <c r="W128" s="214">
        <f>(X128-H128)/X128</f>
        <v>0.47368421052631571</v>
      </c>
      <c r="X128" s="215">
        <f t="shared" si="71"/>
        <v>50.349999999999994</v>
      </c>
      <c r="Z128" s="214">
        <v>0.5</v>
      </c>
      <c r="AA128" s="223">
        <f t="shared" si="72"/>
        <v>53</v>
      </c>
      <c r="AC128" s="306"/>
      <c r="AD128" s="306"/>
      <c r="AE128" s="306"/>
      <c r="AF128" s="306"/>
      <c r="AG128" s="306"/>
    </row>
    <row r="129" spans="1:93" ht="16.5" customHeight="1" x14ac:dyDescent="0.35">
      <c r="C129" s="535" t="s">
        <v>854</v>
      </c>
      <c r="D129" s="55" t="s">
        <v>115</v>
      </c>
      <c r="F129" s="62" t="s">
        <v>76</v>
      </c>
      <c r="H129" s="192">
        <v>82.82</v>
      </c>
      <c r="J129" s="71">
        <f t="shared" si="68"/>
        <v>0.49806060606060609</v>
      </c>
      <c r="K129" s="221">
        <f t="shared" si="74"/>
        <v>2</v>
      </c>
      <c r="L129" s="223">
        <v>165</v>
      </c>
      <c r="N129" s="214">
        <v>0.5</v>
      </c>
      <c r="O129" s="215">
        <f t="shared" si="70"/>
        <v>165.7</v>
      </c>
      <c r="R129">
        <v>80</v>
      </c>
      <c r="T129">
        <f>445.88/3</f>
        <v>148.62666666666667</v>
      </c>
      <c r="W129" s="214">
        <f t="shared" ref="W129:W136" si="75">N129+W$2</f>
        <v>2.4</v>
      </c>
      <c r="X129" s="215">
        <f t="shared" si="71"/>
        <v>157.35799999999998</v>
      </c>
      <c r="Z129" s="214">
        <v>0.5</v>
      </c>
      <c r="AA129" s="223">
        <f t="shared" si="72"/>
        <v>165.64</v>
      </c>
      <c r="AC129" s="306"/>
      <c r="AD129" s="306"/>
      <c r="AE129" s="306"/>
      <c r="AF129" s="306"/>
      <c r="AG129" s="306"/>
    </row>
    <row r="130" spans="1:93" ht="16.5" customHeight="1" x14ac:dyDescent="0.35">
      <c r="C130" s="535" t="s">
        <v>855</v>
      </c>
      <c r="D130" s="55" t="s">
        <v>116</v>
      </c>
      <c r="F130" s="62" t="s">
        <v>76</v>
      </c>
      <c r="H130" s="192">
        <v>108</v>
      </c>
      <c r="J130" s="71">
        <f t="shared" si="68"/>
        <v>0.5</v>
      </c>
      <c r="K130" s="221">
        <f t="shared" si="74"/>
        <v>2</v>
      </c>
      <c r="L130" s="223">
        <v>216</v>
      </c>
      <c r="N130" s="214">
        <v>0.5</v>
      </c>
      <c r="O130" s="215">
        <f t="shared" si="70"/>
        <v>216</v>
      </c>
      <c r="W130" s="214">
        <f t="shared" si="75"/>
        <v>2.4</v>
      </c>
      <c r="X130" s="215">
        <f t="shared" si="71"/>
        <v>205.2</v>
      </c>
      <c r="Z130" s="214">
        <v>0.5</v>
      </c>
      <c r="AA130" s="223">
        <f t="shared" si="72"/>
        <v>216</v>
      </c>
      <c r="AC130" s="306"/>
      <c r="AD130" s="306"/>
      <c r="AE130" s="306"/>
      <c r="AF130" s="306"/>
      <c r="AG130" s="306"/>
    </row>
    <row r="131" spans="1:93" ht="16.5" customHeight="1" x14ac:dyDescent="0.35">
      <c r="C131" s="535" t="s">
        <v>856</v>
      </c>
      <c r="D131" s="55" t="s">
        <v>117</v>
      </c>
      <c r="F131" s="62" t="s">
        <v>76</v>
      </c>
      <c r="H131" s="192">
        <v>18</v>
      </c>
      <c r="J131" s="71">
        <f t="shared" si="68"/>
        <v>0.5</v>
      </c>
      <c r="K131" s="221">
        <f t="shared" si="74"/>
        <v>2</v>
      </c>
      <c r="L131" s="223">
        <v>36</v>
      </c>
      <c r="N131" s="214">
        <v>0.5</v>
      </c>
      <c r="O131" s="215">
        <f t="shared" si="70"/>
        <v>36</v>
      </c>
      <c r="W131" s="214">
        <f t="shared" si="75"/>
        <v>2.4</v>
      </c>
      <c r="X131" s="215">
        <f t="shared" si="71"/>
        <v>34.199999999999996</v>
      </c>
      <c r="Z131" s="214">
        <v>0.5</v>
      </c>
      <c r="AA131" s="223">
        <f t="shared" si="72"/>
        <v>36</v>
      </c>
      <c r="AC131" s="306"/>
      <c r="AD131" s="306"/>
      <c r="AE131" s="306"/>
      <c r="AF131" s="306"/>
      <c r="AG131" s="306"/>
    </row>
    <row r="132" spans="1:93" ht="16.5" customHeight="1" x14ac:dyDescent="0.35">
      <c r="C132" s="535" t="s">
        <v>857</v>
      </c>
      <c r="D132" s="55" t="s">
        <v>118</v>
      </c>
      <c r="F132" s="62" t="s">
        <v>76</v>
      </c>
      <c r="H132" s="192">
        <v>45</v>
      </c>
      <c r="J132" s="71">
        <f t="shared" si="68"/>
        <v>0.5</v>
      </c>
      <c r="K132" s="221">
        <f t="shared" si="74"/>
        <v>2</v>
      </c>
      <c r="L132" s="223">
        <v>90</v>
      </c>
      <c r="N132" s="214">
        <v>0.5</v>
      </c>
      <c r="O132" s="215">
        <f t="shared" si="70"/>
        <v>90</v>
      </c>
      <c r="W132" s="214">
        <f t="shared" si="75"/>
        <v>2.4</v>
      </c>
      <c r="X132" s="215">
        <f t="shared" si="71"/>
        <v>85.5</v>
      </c>
      <c r="Z132" s="214">
        <v>0.5</v>
      </c>
      <c r="AA132" s="223">
        <f t="shared" si="72"/>
        <v>90</v>
      </c>
      <c r="AC132" s="306"/>
      <c r="AD132" s="306"/>
      <c r="AE132" s="306"/>
      <c r="AF132" s="306"/>
      <c r="AG132" s="306"/>
    </row>
    <row r="133" spans="1:93" ht="16.5" customHeight="1" x14ac:dyDescent="0.35">
      <c r="C133" s="535" t="s">
        <v>858</v>
      </c>
      <c r="D133" s="55" t="s">
        <v>119</v>
      </c>
      <c r="F133" s="62" t="s">
        <v>76</v>
      </c>
      <c r="H133" s="192">
        <v>39.5</v>
      </c>
      <c r="J133" s="71">
        <f t="shared" si="68"/>
        <v>0.5</v>
      </c>
      <c r="K133" s="221">
        <f t="shared" si="74"/>
        <v>2</v>
      </c>
      <c r="L133" s="223">
        <v>79</v>
      </c>
      <c r="N133" s="214">
        <v>0.5</v>
      </c>
      <c r="O133" s="215">
        <f t="shared" si="70"/>
        <v>79</v>
      </c>
      <c r="W133" s="214">
        <f t="shared" si="75"/>
        <v>2.4</v>
      </c>
      <c r="X133" s="215">
        <f t="shared" si="71"/>
        <v>75.05</v>
      </c>
      <c r="Z133" s="214">
        <v>0.5</v>
      </c>
      <c r="AA133" s="223">
        <f t="shared" si="72"/>
        <v>79</v>
      </c>
      <c r="AC133" s="306"/>
      <c r="AD133" s="306"/>
      <c r="AE133" s="306"/>
      <c r="AF133" s="306"/>
      <c r="AG133" s="306"/>
    </row>
    <row r="134" spans="1:93" ht="16.5" customHeight="1" x14ac:dyDescent="0.35">
      <c r="C134" s="535" t="s">
        <v>859</v>
      </c>
      <c r="D134" s="55" t="s">
        <v>120</v>
      </c>
      <c r="H134" s="192">
        <v>52.1</v>
      </c>
      <c r="J134" s="71">
        <f t="shared" si="68"/>
        <v>0.5</v>
      </c>
      <c r="K134" s="221">
        <f t="shared" si="74"/>
        <v>2</v>
      </c>
      <c r="L134" s="223">
        <v>104.2</v>
      </c>
      <c r="N134" s="214">
        <v>0.5</v>
      </c>
      <c r="O134" s="215">
        <f t="shared" si="70"/>
        <v>104.2</v>
      </c>
      <c r="W134" s="214">
        <f t="shared" si="75"/>
        <v>2.4</v>
      </c>
      <c r="X134" s="215">
        <f t="shared" si="71"/>
        <v>98.99</v>
      </c>
      <c r="Z134" s="214">
        <v>0.5</v>
      </c>
      <c r="AA134" s="223">
        <f t="shared" si="72"/>
        <v>104.2</v>
      </c>
      <c r="AC134" s="306"/>
      <c r="AD134" s="306"/>
      <c r="AE134" s="306"/>
      <c r="AF134" s="306"/>
      <c r="AG134" s="306"/>
    </row>
    <row r="135" spans="1:93" ht="16.5" customHeight="1" x14ac:dyDescent="0.35">
      <c r="C135" s="535" t="s">
        <v>860</v>
      </c>
      <c r="D135" s="55" t="s">
        <v>121</v>
      </c>
      <c r="F135" s="62" t="s">
        <v>76</v>
      </c>
      <c r="G135" s="61"/>
      <c r="H135" s="192">
        <v>61.2</v>
      </c>
      <c r="J135" s="71">
        <f t="shared" si="68"/>
        <v>0.49836065573770488</v>
      </c>
      <c r="K135" s="221">
        <f t="shared" si="74"/>
        <v>2</v>
      </c>
      <c r="L135" s="223">
        <v>122</v>
      </c>
      <c r="N135" s="214">
        <v>0.5</v>
      </c>
      <c r="O135" s="215">
        <f t="shared" si="70"/>
        <v>122.4</v>
      </c>
      <c r="W135" s="214">
        <f t="shared" si="75"/>
        <v>2.4</v>
      </c>
      <c r="X135" s="215">
        <f t="shared" si="71"/>
        <v>116.28</v>
      </c>
      <c r="Z135" s="214">
        <v>0.5</v>
      </c>
      <c r="AA135" s="223">
        <f t="shared" si="72"/>
        <v>122.4</v>
      </c>
      <c r="AC135" s="306"/>
      <c r="AD135" s="306"/>
      <c r="AE135" s="306"/>
      <c r="AF135" s="306"/>
      <c r="AG135" s="306"/>
    </row>
    <row r="136" spans="1:93" ht="16.5" customHeight="1" x14ac:dyDescent="0.35">
      <c r="C136" s="535" t="s">
        <v>861</v>
      </c>
      <c r="D136" s="55" t="s">
        <v>122</v>
      </c>
      <c r="G136" s="61"/>
      <c r="H136" s="192">
        <v>68</v>
      </c>
      <c r="J136" s="71">
        <f t="shared" si="68"/>
        <v>0.5</v>
      </c>
      <c r="K136" s="221">
        <f t="shared" si="74"/>
        <v>2</v>
      </c>
      <c r="L136" s="223">
        <v>136</v>
      </c>
      <c r="N136" s="214">
        <v>0.5</v>
      </c>
      <c r="O136" s="215">
        <f t="shared" si="70"/>
        <v>136</v>
      </c>
      <c r="W136" s="214">
        <f t="shared" si="75"/>
        <v>2.4</v>
      </c>
      <c r="X136" s="215">
        <f t="shared" si="71"/>
        <v>129.19999999999999</v>
      </c>
      <c r="Z136" s="214">
        <v>0.5</v>
      </c>
      <c r="AA136" s="223">
        <f t="shared" si="72"/>
        <v>136</v>
      </c>
      <c r="AC136" s="306"/>
      <c r="AD136" s="306"/>
      <c r="AE136" s="306"/>
      <c r="AF136" s="306"/>
      <c r="AG136" s="306"/>
    </row>
    <row r="137" spans="1:93" ht="16.5" customHeight="1" x14ac:dyDescent="0.35">
      <c r="C137" s="535" t="s">
        <v>862</v>
      </c>
      <c r="D137" s="483" t="s">
        <v>123</v>
      </c>
      <c r="F137" s="62" t="s">
        <v>76</v>
      </c>
      <c r="H137" s="192"/>
      <c r="J137" s="71"/>
      <c r="K137" s="71"/>
      <c r="L137" s="223"/>
      <c r="N137" s="214"/>
      <c r="O137" s="193"/>
      <c r="W137" s="214"/>
      <c r="X137" s="193"/>
      <c r="Z137" s="214"/>
      <c r="AA137" s="193"/>
      <c r="AC137" s="306"/>
      <c r="AD137" s="306"/>
      <c r="AE137" s="306"/>
      <c r="AF137" s="306"/>
      <c r="AG137" s="306"/>
    </row>
    <row r="138" spans="1:93" ht="16.5" customHeight="1" x14ac:dyDescent="0.35">
      <c r="C138" s="535" t="s">
        <v>863</v>
      </c>
      <c r="D138" s="55" t="s">
        <v>124</v>
      </c>
      <c r="E138" s="55" t="s">
        <v>125</v>
      </c>
      <c r="F138" s="62" t="s">
        <v>76</v>
      </c>
      <c r="H138" s="192">
        <v>120.5</v>
      </c>
      <c r="J138" s="71">
        <f t="shared" si="68"/>
        <v>0.5</v>
      </c>
      <c r="K138" s="221">
        <f t="shared" si="74"/>
        <v>2</v>
      </c>
      <c r="L138" s="223">
        <v>241</v>
      </c>
      <c r="N138" s="214">
        <v>0.5</v>
      </c>
      <c r="O138" s="215">
        <f>ROUNDUP(H138/-(N138-1),1)</f>
        <v>241</v>
      </c>
      <c r="W138" s="214">
        <f>(X138-H138)/X138</f>
        <v>0.47368421052631576</v>
      </c>
      <c r="X138" s="215">
        <f>(H138*$W$2)</f>
        <v>228.95</v>
      </c>
      <c r="Z138" s="214">
        <v>0.5</v>
      </c>
      <c r="AA138" s="223">
        <f>ROUNDUP(H138/-(Z138-1),3)</f>
        <v>241</v>
      </c>
      <c r="AC138" s="306"/>
      <c r="AD138" s="306"/>
      <c r="AE138" s="306"/>
      <c r="AF138" s="306"/>
      <c r="AG138" s="306"/>
    </row>
    <row r="139" spans="1:93" s="436" customFormat="1" ht="16.5" customHeight="1" x14ac:dyDescent="0.35">
      <c r="A139" s="55"/>
      <c r="B139" s="55"/>
      <c r="C139" s="535" t="s">
        <v>864</v>
      </c>
      <c r="D139" s="55" t="s">
        <v>126</v>
      </c>
      <c r="E139" s="55" t="s">
        <v>127</v>
      </c>
      <c r="F139" s="62" t="s">
        <v>76</v>
      </c>
      <c r="G139" s="58"/>
      <c r="H139" s="192"/>
      <c r="I139"/>
      <c r="J139" s="71"/>
      <c r="K139" s="71"/>
      <c r="L139" s="223"/>
      <c r="M139" s="58"/>
      <c r="N139" s="214"/>
      <c r="O139" s="215"/>
      <c r="P139"/>
      <c r="Q139"/>
      <c r="R139"/>
      <c r="S139"/>
      <c r="T139"/>
      <c r="U139"/>
      <c r="V139" s="55"/>
      <c r="W139" s="214"/>
      <c r="X139" s="215"/>
      <c r="Y139" s="55"/>
      <c r="Z139" s="214"/>
      <c r="AA139" s="215"/>
      <c r="AB139" s="55"/>
      <c r="AC139" s="306"/>
      <c r="AD139" s="306"/>
      <c r="AE139" s="306"/>
      <c r="AF139" s="306"/>
      <c r="AG139" s="306"/>
      <c r="AH139" s="55"/>
      <c r="AI139" s="55"/>
      <c r="AJ139" s="55"/>
      <c r="AK139" s="55"/>
      <c r="AL139" s="55"/>
      <c r="AM139" s="55"/>
      <c r="AN139" s="55"/>
      <c r="AO139" s="55"/>
      <c r="AP139" s="55"/>
      <c r="AQ139" s="55"/>
      <c r="AR139" s="55"/>
      <c r="AS139" s="55"/>
      <c r="AT139" s="55"/>
      <c r="AU139" s="55"/>
      <c r="AV139" s="55"/>
      <c r="AW139" s="55"/>
      <c r="AX139" s="55"/>
      <c r="AY139" s="55"/>
      <c r="AZ139" s="55"/>
      <c r="BA139" s="55"/>
      <c r="BB139" s="55"/>
      <c r="BC139" s="55"/>
      <c r="BD139" s="55"/>
      <c r="BE139" s="55"/>
      <c r="BF139" s="55"/>
      <c r="BG139" s="55"/>
      <c r="BH139" s="55"/>
      <c r="BI139" s="55"/>
      <c r="BJ139" s="55"/>
      <c r="BK139" s="55"/>
      <c r="BL139" s="55"/>
      <c r="BM139" s="55"/>
      <c r="BN139" s="55"/>
      <c r="BO139" s="55"/>
      <c r="BP139" s="55"/>
      <c r="BQ139" s="55"/>
      <c r="BR139" s="55"/>
      <c r="BS139" s="55"/>
      <c r="BT139" s="55"/>
      <c r="BU139" s="55"/>
      <c r="BV139" s="55"/>
      <c r="BW139" s="55"/>
      <c r="BX139" s="55"/>
      <c r="BY139" s="55"/>
      <c r="BZ139" s="55"/>
      <c r="CA139" s="55"/>
      <c r="CB139" s="55"/>
      <c r="CC139" s="55"/>
      <c r="CD139" s="55"/>
      <c r="CE139" s="55"/>
      <c r="CF139" s="55"/>
      <c r="CG139" s="55"/>
      <c r="CH139" s="55"/>
      <c r="CI139" s="55"/>
      <c r="CJ139" s="55"/>
      <c r="CK139" s="55"/>
      <c r="CL139" s="55"/>
      <c r="CM139" s="55"/>
      <c r="CN139" s="55"/>
      <c r="CO139" s="55"/>
    </row>
    <row r="140" spans="1:93" ht="18.649999999999999" customHeight="1" x14ac:dyDescent="0.35">
      <c r="C140" s="535" t="s">
        <v>865</v>
      </c>
      <c r="D140" s="55" t="s">
        <v>128</v>
      </c>
      <c r="E140" s="55" t="s">
        <v>129</v>
      </c>
      <c r="F140" s="62" t="s">
        <v>76</v>
      </c>
      <c r="H140" s="192">
        <v>170.25</v>
      </c>
      <c r="J140" s="71">
        <f t="shared" si="68"/>
        <v>0.5</v>
      </c>
      <c r="K140" s="221">
        <f t="shared" si="74"/>
        <v>2</v>
      </c>
      <c r="L140" s="223">
        <v>340.5</v>
      </c>
      <c r="N140" s="214">
        <v>0.5</v>
      </c>
      <c r="O140" s="215">
        <f>ROUNDUP(H140/-(N140-1),1)</f>
        <v>340.5</v>
      </c>
      <c r="W140" s="214">
        <f>(X140-H140)/X140</f>
        <v>0.47368421052631571</v>
      </c>
      <c r="X140" s="215">
        <f>(H140*$W$2)</f>
        <v>323.47499999999997</v>
      </c>
      <c r="Z140" s="214">
        <v>0.5</v>
      </c>
      <c r="AA140" s="223">
        <f>ROUNDUP(H140/-(Z140-1),3)</f>
        <v>340.5</v>
      </c>
      <c r="AC140" s="306"/>
      <c r="AD140" s="306"/>
      <c r="AE140" s="306"/>
      <c r="AF140" s="306"/>
      <c r="AG140" s="306"/>
    </row>
    <row r="141" spans="1:93" ht="18.75" customHeight="1" x14ac:dyDescent="0.35">
      <c r="C141" s="535" t="s">
        <v>866</v>
      </c>
      <c r="D141" s="55" t="s">
        <v>130</v>
      </c>
      <c r="F141" s="62" t="s">
        <v>76</v>
      </c>
      <c r="H141" s="192">
        <v>83.6</v>
      </c>
      <c r="J141" s="71"/>
      <c r="K141" s="71"/>
      <c r="L141" s="223"/>
      <c r="N141" s="214"/>
      <c r="O141" s="193"/>
      <c r="W141" s="214"/>
      <c r="X141" s="193"/>
      <c r="Z141" s="214"/>
      <c r="AA141" s="193"/>
      <c r="AC141" s="306"/>
      <c r="AD141" s="306"/>
      <c r="AE141" s="306"/>
      <c r="AF141" s="306"/>
      <c r="AG141" s="306"/>
    </row>
    <row r="142" spans="1:93" ht="18" customHeight="1" x14ac:dyDescent="0.35">
      <c r="C142" s="535" t="s">
        <v>867</v>
      </c>
      <c r="D142" s="55" t="s">
        <v>131</v>
      </c>
      <c r="F142" s="62" t="s">
        <v>76</v>
      </c>
      <c r="H142" s="192">
        <v>29.78</v>
      </c>
      <c r="J142" s="71">
        <f t="shared" ref="J142:J144" si="76">(L142-H142)/L142</f>
        <v>0.61574193548387091</v>
      </c>
      <c r="K142" s="221">
        <f t="shared" si="74"/>
        <v>2.61</v>
      </c>
      <c r="L142" s="223">
        <v>77.5</v>
      </c>
      <c r="N142" s="214">
        <v>0.62</v>
      </c>
      <c r="O142" s="215">
        <f>ROUNDUP(H142/-(N142-1),1)</f>
        <v>78.399999999999991</v>
      </c>
      <c r="W142" s="214"/>
      <c r="X142" s="193"/>
      <c r="Z142" s="214">
        <f t="shared" ref="Z142:Z144" si="77">N142+3/100</f>
        <v>0.65</v>
      </c>
      <c r="AA142" s="223">
        <f>ROUNDUP(H142/-(Z142-1),3)</f>
        <v>85.085999999999999</v>
      </c>
      <c r="AC142" s="306"/>
      <c r="AD142" s="306"/>
      <c r="AE142" s="306"/>
      <c r="AF142" s="306"/>
      <c r="AG142" s="306"/>
    </row>
    <row r="143" spans="1:93" ht="17.25" customHeight="1" x14ac:dyDescent="0.35">
      <c r="C143" s="535" t="s">
        <v>868</v>
      </c>
      <c r="D143" s="55" t="s">
        <v>132</v>
      </c>
      <c r="F143" s="62" t="s">
        <v>76</v>
      </c>
      <c r="H143" s="192">
        <v>34.43</v>
      </c>
      <c r="J143" s="71">
        <f t="shared" si="76"/>
        <v>0.61573660714285716</v>
      </c>
      <c r="K143" s="221">
        <f t="shared" si="74"/>
        <v>2.61</v>
      </c>
      <c r="L143" s="223">
        <v>89.6</v>
      </c>
      <c r="N143" s="214">
        <v>0.62</v>
      </c>
      <c r="O143" s="215">
        <f>ROUNDUP(H143/-(N143-1),1)</f>
        <v>90.699999999999989</v>
      </c>
      <c r="W143" s="214"/>
      <c r="X143" s="193"/>
      <c r="Z143" s="214">
        <f t="shared" si="77"/>
        <v>0.65</v>
      </c>
      <c r="AA143" s="223">
        <f>ROUNDUP(H143/-(Z143-1),3)</f>
        <v>98.372</v>
      </c>
      <c r="AC143" s="306"/>
      <c r="AD143" s="306">
        <v>566</v>
      </c>
      <c r="AE143" s="306"/>
      <c r="AF143" s="306">
        <f>0.8*500.26</f>
        <v>400.20800000000003</v>
      </c>
      <c r="AG143" s="306">
        <v>406</v>
      </c>
    </row>
    <row r="144" spans="1:93" x14ac:dyDescent="0.35">
      <c r="C144" s="535" t="s">
        <v>869</v>
      </c>
      <c r="D144" s="55" t="s">
        <v>133</v>
      </c>
      <c r="F144" s="62" t="s">
        <v>76</v>
      </c>
      <c r="H144" s="192">
        <v>44.15</v>
      </c>
      <c r="J144" s="71">
        <f t="shared" si="76"/>
        <v>0.61541811846689898</v>
      </c>
      <c r="K144" s="221">
        <f t="shared" si="74"/>
        <v>2.61</v>
      </c>
      <c r="L144" s="223">
        <v>114.8</v>
      </c>
      <c r="N144" s="214">
        <v>0.62</v>
      </c>
      <c r="O144" s="215">
        <f>ROUNDUP(H144/-(N144-1),1)</f>
        <v>116.19999999999999</v>
      </c>
      <c r="W144" s="214"/>
      <c r="X144" s="193"/>
      <c r="Z144" s="214">
        <f t="shared" si="77"/>
        <v>0.65</v>
      </c>
      <c r="AA144" s="223">
        <f>ROUNDUP(H144/-(Z144-1),3)</f>
        <v>126.143</v>
      </c>
      <c r="AC144" s="306"/>
      <c r="AD144" s="306">
        <v>866</v>
      </c>
      <c r="AE144" s="306"/>
      <c r="AF144" s="306">
        <f>0.8*860.4</f>
        <v>688.32</v>
      </c>
      <c r="AG144" s="306">
        <v>818</v>
      </c>
    </row>
    <row r="145" spans="1:93" x14ac:dyDescent="0.35">
      <c r="C145" s="535" t="s">
        <v>870</v>
      </c>
      <c r="D145" s="55" t="s">
        <v>134</v>
      </c>
      <c r="F145" s="62" t="s">
        <v>76</v>
      </c>
      <c r="H145" s="192">
        <v>165</v>
      </c>
      <c r="J145" s="71">
        <f>(L145-H145)/L145</f>
        <v>0.5</v>
      </c>
      <c r="K145" s="221">
        <f t="shared" si="74"/>
        <v>2</v>
      </c>
      <c r="L145" s="223">
        <v>330</v>
      </c>
      <c r="N145" s="214">
        <v>0.5</v>
      </c>
      <c r="O145" s="215">
        <f>ROUNDUP(H145/-(N145-1),1)</f>
        <v>330</v>
      </c>
      <c r="W145" s="214">
        <f>(X145-H145)/X145</f>
        <v>0.47368421052631576</v>
      </c>
      <c r="X145" s="215">
        <f>(H145*$W$2)</f>
        <v>313.5</v>
      </c>
      <c r="Z145" s="214">
        <v>0.5</v>
      </c>
      <c r="AA145" s="223">
        <f>ROUNDUP(H145/-(Z145-1),3)</f>
        <v>330</v>
      </c>
      <c r="AC145" s="306">
        <v>351.46</v>
      </c>
      <c r="AD145" s="306"/>
      <c r="AE145" s="306"/>
      <c r="AF145" s="306"/>
      <c r="AG145" s="306"/>
    </row>
    <row r="146" spans="1:93" ht="15.75" customHeight="1" x14ac:dyDescent="0.35">
      <c r="C146" s="535" t="s">
        <v>871</v>
      </c>
      <c r="D146" s="55" t="s">
        <v>135</v>
      </c>
      <c r="F146" s="62" t="s">
        <v>76</v>
      </c>
      <c r="H146" s="192"/>
      <c r="J146" s="71"/>
      <c r="K146" s="71"/>
      <c r="L146" s="223"/>
      <c r="N146" s="214"/>
      <c r="O146" s="193"/>
      <c r="W146" s="214"/>
      <c r="X146" s="193"/>
      <c r="Z146" s="214"/>
      <c r="AA146" s="193"/>
      <c r="AC146" s="306"/>
      <c r="AD146" s="306"/>
      <c r="AE146" s="306"/>
      <c r="AF146" s="306"/>
      <c r="AG146" s="306"/>
    </row>
    <row r="147" spans="1:93" x14ac:dyDescent="0.35">
      <c r="C147" s="535" t="s">
        <v>872</v>
      </c>
      <c r="D147" s="55" t="s">
        <v>136</v>
      </c>
      <c r="F147" s="62" t="s">
        <v>76</v>
      </c>
      <c r="H147" s="192"/>
      <c r="J147" s="71"/>
      <c r="K147" s="71"/>
      <c r="L147" s="223"/>
      <c r="N147" s="214"/>
      <c r="O147" s="193"/>
      <c r="W147" s="214"/>
      <c r="X147" s="193"/>
      <c r="Z147" s="214"/>
      <c r="AA147" s="193"/>
      <c r="AC147" s="306"/>
      <c r="AD147" s="306"/>
      <c r="AE147" s="306"/>
      <c r="AF147" s="306"/>
      <c r="AG147" s="306"/>
    </row>
    <row r="148" spans="1:93" ht="15" customHeight="1" x14ac:dyDescent="0.35">
      <c r="C148" s="535" t="s">
        <v>873</v>
      </c>
      <c r="D148" s="55" t="s">
        <v>137</v>
      </c>
      <c r="E148" s="55" t="s">
        <v>138</v>
      </c>
      <c r="H148" s="192">
        <f>H90*0.3</f>
        <v>129</v>
      </c>
      <c r="J148" s="71">
        <f>(L148-H148)/L148</f>
        <v>0.50384615384615383</v>
      </c>
      <c r="K148" s="221">
        <f t="shared" ref="K148" si="78">ROUNDUP(L148/H148,2)</f>
        <v>2.0199999999999996</v>
      </c>
      <c r="L148" s="223">
        <v>260</v>
      </c>
      <c r="N148" s="214">
        <v>0.4</v>
      </c>
      <c r="O148" s="215">
        <f>ROUNDUP(H148/-(N148-1),1)</f>
        <v>215</v>
      </c>
      <c r="W148" s="214"/>
      <c r="X148" s="193"/>
      <c r="Z148" s="214">
        <f>N148+3/100</f>
        <v>0.43000000000000005</v>
      </c>
      <c r="AA148" s="223">
        <f>ROUNDUP(H148/-(Z148-1),3)</f>
        <v>226.316</v>
      </c>
      <c r="AC148" s="306"/>
      <c r="AD148" s="306"/>
      <c r="AE148" s="306"/>
      <c r="AF148" s="306"/>
      <c r="AG148" s="306"/>
    </row>
    <row r="149" spans="1:93" ht="15" customHeight="1" x14ac:dyDescent="0.35">
      <c r="C149" s="535"/>
      <c r="D149" s="55" t="s">
        <v>1018</v>
      </c>
      <c r="F149" s="62" t="s">
        <v>76</v>
      </c>
      <c r="H149" s="192">
        <f>1300+500</f>
        <v>1800</v>
      </c>
      <c r="J149" s="71">
        <f>(L149-H149)/L149</f>
        <v>0.5</v>
      </c>
      <c r="K149" s="221"/>
      <c r="L149" s="223">
        <v>3600</v>
      </c>
      <c r="N149" s="214">
        <v>0.5</v>
      </c>
      <c r="O149" s="215">
        <f>ROUNDUP(H149/-(N149-1),1)</f>
        <v>3600</v>
      </c>
      <c r="W149" s="214"/>
      <c r="X149" s="193"/>
      <c r="Z149" s="214">
        <v>0.5</v>
      </c>
      <c r="AA149" s="223">
        <f>ROUNDUP(H149/-(Z149-1),3)</f>
        <v>3600</v>
      </c>
      <c r="AC149" s="306"/>
      <c r="AD149" s="306"/>
      <c r="AE149" s="306"/>
      <c r="AF149" s="306"/>
      <c r="AG149" s="306"/>
    </row>
    <row r="150" spans="1:93" ht="15.75" customHeight="1" x14ac:dyDescent="0.35">
      <c r="C150" s="535"/>
      <c r="H150" s="192"/>
      <c r="J150" s="71"/>
      <c r="K150" s="71"/>
      <c r="L150" s="223"/>
      <c r="N150" s="214"/>
      <c r="O150" s="193"/>
      <c r="W150" s="214"/>
      <c r="X150" s="193"/>
      <c r="Z150" s="214"/>
      <c r="AA150" s="193"/>
      <c r="AC150" s="306"/>
      <c r="AD150" s="306"/>
      <c r="AE150" s="306"/>
      <c r="AF150" s="306"/>
      <c r="AG150" s="306"/>
    </row>
    <row r="151" spans="1:93" ht="15.75" customHeight="1" x14ac:dyDescent="0.35">
      <c r="B151" s="77"/>
      <c r="C151" s="542"/>
      <c r="D151" s="73" t="s">
        <v>139</v>
      </c>
      <c r="E151" s="73"/>
      <c r="F151" s="74"/>
      <c r="H151" s="202"/>
      <c r="J151" s="81"/>
      <c r="K151" s="81"/>
      <c r="L151" s="419"/>
      <c r="N151" s="198"/>
      <c r="O151" s="199"/>
      <c r="W151" s="218"/>
      <c r="X151" s="199"/>
      <c r="Z151" s="198"/>
      <c r="AA151" s="199"/>
      <c r="AC151" s="306"/>
      <c r="AD151" s="306"/>
      <c r="AE151" s="306"/>
      <c r="AF151" s="306"/>
      <c r="AG151" s="306"/>
    </row>
    <row r="152" spans="1:93" ht="17.25" customHeight="1" x14ac:dyDescent="0.35">
      <c r="C152" s="535"/>
      <c r="H152" s="192"/>
      <c r="J152" s="71"/>
      <c r="K152" s="221"/>
      <c r="L152" s="223"/>
      <c r="N152" s="214"/>
      <c r="O152" s="193"/>
      <c r="W152" s="214"/>
      <c r="X152" s="215"/>
      <c r="Z152" s="214"/>
      <c r="AA152" s="223"/>
      <c r="AC152" s="306"/>
      <c r="AD152" s="306"/>
      <c r="AE152" s="306"/>
      <c r="AF152" s="306"/>
      <c r="AG152" s="306"/>
    </row>
    <row r="153" spans="1:93" s="436" customFormat="1" ht="18" customHeight="1" x14ac:dyDescent="0.35">
      <c r="A153" s="55"/>
      <c r="B153" s="55" t="s">
        <v>140</v>
      </c>
      <c r="C153" s="535" t="s">
        <v>874</v>
      </c>
      <c r="D153" s="55" t="s">
        <v>141</v>
      </c>
      <c r="E153" s="55"/>
      <c r="F153" s="62" t="s">
        <v>76</v>
      </c>
      <c r="G153" s="58"/>
      <c r="H153" s="192">
        <f>3655+185</f>
        <v>3840</v>
      </c>
      <c r="I153"/>
      <c r="J153" s="71">
        <f>(L153-H153)/L153</f>
        <v>0.47469220246238031</v>
      </c>
      <c r="K153" s="221">
        <f t="shared" ref="K153:K156" si="79">ROUNDUP(L153/H153,2)</f>
        <v>1.91</v>
      </c>
      <c r="L153" s="223">
        <v>7310</v>
      </c>
      <c r="M153" s="58"/>
      <c r="N153" s="214">
        <v>0.35</v>
      </c>
      <c r="O153" s="193">
        <f>ROUNDUP(H153/-(N153-1),1)</f>
        <v>5907.7000000000007</v>
      </c>
      <c r="P153"/>
      <c r="Q153">
        <f>0.8*4160</f>
        <v>3328</v>
      </c>
      <c r="R153"/>
      <c r="S153">
        <v>4073.14</v>
      </c>
      <c r="T153"/>
      <c r="U153"/>
      <c r="V153" s="55"/>
      <c r="W153" s="214">
        <f>(X153-H153)/X153</f>
        <v>0.47368421052631576</v>
      </c>
      <c r="X153" s="215">
        <f>(H153*$W$2)</f>
        <v>7296</v>
      </c>
      <c r="Y153" s="55"/>
      <c r="Z153" s="214">
        <f t="shared" ref="Z153:Z156" si="80">N153+3/100</f>
        <v>0.38</v>
      </c>
      <c r="AA153" s="223">
        <f>ROUNDUP(H153/-(Z153-1),3)</f>
        <v>6193.549</v>
      </c>
      <c r="AB153" s="55"/>
      <c r="AC153" s="306"/>
      <c r="AD153" s="306"/>
      <c r="AE153" s="306"/>
      <c r="AF153" s="306"/>
      <c r="AG153" s="306"/>
      <c r="AH153" s="55"/>
      <c r="AI153" s="55"/>
      <c r="AJ153" s="55"/>
      <c r="AK153" s="55"/>
      <c r="AL153" s="55"/>
      <c r="AM153" s="55"/>
      <c r="AN153" s="55"/>
      <c r="AO153" s="55"/>
      <c r="AP153" s="55"/>
      <c r="AQ153" s="55"/>
      <c r="AR153" s="55"/>
      <c r="AS153" s="55"/>
      <c r="AT153" s="55"/>
      <c r="AU153" s="55"/>
      <c r="AV153" s="55"/>
      <c r="AW153" s="55"/>
      <c r="AX153" s="55"/>
      <c r="AY153" s="55"/>
      <c r="AZ153" s="55"/>
      <c r="BA153" s="55"/>
      <c r="BB153" s="55"/>
      <c r="BC153" s="55"/>
      <c r="BD153" s="55"/>
      <c r="BE153" s="55"/>
      <c r="BF153" s="55"/>
      <c r="BG153" s="55"/>
      <c r="BH153" s="55"/>
      <c r="BI153" s="55"/>
      <c r="BJ153" s="55"/>
      <c r="BK153" s="55"/>
      <c r="BL153" s="55"/>
      <c r="BM153" s="55"/>
      <c r="BN153" s="55"/>
      <c r="BO153" s="55"/>
      <c r="BP153" s="55"/>
      <c r="BQ153" s="55"/>
      <c r="BR153" s="55"/>
      <c r="BS153" s="55"/>
      <c r="BT153" s="55"/>
      <c r="BU153" s="55"/>
      <c r="BV153" s="55"/>
      <c r="BW153" s="55"/>
      <c r="BX153" s="55"/>
      <c r="BY153" s="55"/>
      <c r="BZ153" s="55"/>
      <c r="CA153" s="55"/>
      <c r="CB153" s="55"/>
      <c r="CC153" s="55"/>
      <c r="CD153" s="55"/>
      <c r="CE153" s="55"/>
      <c r="CF153" s="55"/>
      <c r="CG153" s="55"/>
      <c r="CH153" s="55"/>
      <c r="CI153" s="55"/>
      <c r="CJ153" s="55"/>
      <c r="CK153" s="55"/>
      <c r="CL153" s="55"/>
      <c r="CM153" s="55"/>
      <c r="CN153" s="55"/>
      <c r="CO153" s="55"/>
    </row>
    <row r="154" spans="1:93" ht="16.5" customHeight="1" x14ac:dyDescent="0.35">
      <c r="B154" s="55" t="s">
        <v>142</v>
      </c>
      <c r="C154" s="535" t="s">
        <v>875</v>
      </c>
      <c r="D154" s="55" t="s">
        <v>143</v>
      </c>
      <c r="F154" s="62" t="s">
        <v>76</v>
      </c>
      <c r="H154" s="192">
        <f>3723+185</f>
        <v>3908</v>
      </c>
      <c r="J154" s="71">
        <f>(L154-H154)/L154</f>
        <v>0.47515444533977974</v>
      </c>
      <c r="K154" s="221">
        <f t="shared" si="79"/>
        <v>1.91</v>
      </c>
      <c r="L154" s="223">
        <v>7446</v>
      </c>
      <c r="N154" s="214">
        <v>0.35</v>
      </c>
      <c r="O154" s="193">
        <f>ROUNDUP(H154/-(N154-1),1)</f>
        <v>6012.4000000000005</v>
      </c>
      <c r="W154" s="214">
        <f>(X154-H154)/X154</f>
        <v>0.47368421052631576</v>
      </c>
      <c r="X154" s="215">
        <f>(H154*$W$2)</f>
        <v>7425.2</v>
      </c>
      <c r="Z154" s="214">
        <f t="shared" si="80"/>
        <v>0.38</v>
      </c>
      <c r="AA154" s="223">
        <f>ROUNDUP(H154/-(Z154-1),3)</f>
        <v>6303.2260000000006</v>
      </c>
      <c r="AC154" s="306"/>
      <c r="AD154" s="306"/>
      <c r="AE154" s="306"/>
      <c r="AF154" s="306"/>
      <c r="AG154" s="306"/>
    </row>
    <row r="155" spans="1:93" ht="17.25" customHeight="1" x14ac:dyDescent="0.35">
      <c r="B155" s="55" t="s">
        <v>144</v>
      </c>
      <c r="C155" s="535" t="s">
        <v>876</v>
      </c>
      <c r="D155" s="55" t="s">
        <v>145</v>
      </c>
      <c r="F155" s="62" t="s">
        <v>76</v>
      </c>
      <c r="H155" s="192">
        <f>3835+237</f>
        <v>4072</v>
      </c>
      <c r="J155" s="71">
        <f>(L155-H155)/L155</f>
        <v>0.46910039113428942</v>
      </c>
      <c r="K155" s="221">
        <f t="shared" si="79"/>
        <v>1.89</v>
      </c>
      <c r="L155" s="223">
        <v>7670</v>
      </c>
      <c r="N155" s="214">
        <v>0.35</v>
      </c>
      <c r="O155" s="193">
        <f>ROUNDUP(H155/-(N155-1),1)</f>
        <v>6264.7000000000007</v>
      </c>
      <c r="W155" s="214">
        <f>(X155-H155)/X155</f>
        <v>0.47368421052631576</v>
      </c>
      <c r="X155" s="215">
        <f>(H155*$W$2)</f>
        <v>7736.7999999999993</v>
      </c>
      <c r="Z155" s="214">
        <f t="shared" si="80"/>
        <v>0.38</v>
      </c>
      <c r="AA155" s="223">
        <f>ROUNDUP(H155/-(Z155-1),3)</f>
        <v>6567.7420000000002</v>
      </c>
      <c r="AC155" s="306"/>
      <c r="AD155" s="306"/>
      <c r="AE155" s="306"/>
      <c r="AF155" s="306"/>
      <c r="AG155" s="306"/>
    </row>
    <row r="156" spans="1:93" ht="16.5" customHeight="1" x14ac:dyDescent="0.35">
      <c r="B156" s="55" t="s">
        <v>146</v>
      </c>
      <c r="C156" s="535" t="s">
        <v>877</v>
      </c>
      <c r="D156" s="55" t="s">
        <v>147</v>
      </c>
      <c r="F156" s="62" t="s">
        <v>76</v>
      </c>
      <c r="H156" s="192">
        <f>3914+237</f>
        <v>4151</v>
      </c>
      <c r="J156" s="71">
        <f>(L156-H156)/L156</f>
        <v>0.46972406745017886</v>
      </c>
      <c r="K156" s="221">
        <f t="shared" si="79"/>
        <v>1.89</v>
      </c>
      <c r="L156" s="223">
        <v>7828</v>
      </c>
      <c r="N156" s="214">
        <v>0.35</v>
      </c>
      <c r="O156" s="193">
        <f>ROUNDUP(H156/-(N156-1),1)</f>
        <v>6386.2000000000007</v>
      </c>
      <c r="W156" s="214">
        <f>(X156-H156)/X156</f>
        <v>0.47368421052631576</v>
      </c>
      <c r="X156" s="215">
        <f>(H156*$W$2)</f>
        <v>7886.9</v>
      </c>
      <c r="Z156" s="214">
        <f t="shared" si="80"/>
        <v>0.38</v>
      </c>
      <c r="AA156" s="223">
        <f>ROUNDUP(H156/-(Z156-1),3)</f>
        <v>6695.1620000000003</v>
      </c>
      <c r="AC156" s="306"/>
      <c r="AD156" s="306"/>
      <c r="AE156" s="306"/>
      <c r="AF156" s="306"/>
      <c r="AG156" s="306"/>
    </row>
    <row r="157" spans="1:93" ht="16.5" customHeight="1" x14ac:dyDescent="0.35">
      <c r="C157" s="535"/>
      <c r="H157" s="192"/>
      <c r="J157" s="71"/>
      <c r="K157" s="71"/>
      <c r="L157" s="223"/>
      <c r="N157" s="214"/>
      <c r="O157" s="193"/>
      <c r="W157" s="214"/>
      <c r="X157" s="193"/>
      <c r="Z157" s="214"/>
      <c r="AA157" s="193"/>
      <c r="AC157" s="306"/>
      <c r="AD157" s="306"/>
      <c r="AE157" s="306"/>
      <c r="AF157" s="306"/>
      <c r="AG157" s="306"/>
    </row>
    <row r="158" spans="1:93" ht="13.5" customHeight="1" x14ac:dyDescent="0.35">
      <c r="C158" s="535"/>
      <c r="D158" s="64" t="s">
        <v>148</v>
      </c>
      <c r="E158" s="64"/>
      <c r="F158" s="66"/>
      <c r="H158" s="192"/>
      <c r="J158" s="71"/>
      <c r="K158" s="71"/>
      <c r="L158" s="223"/>
      <c r="N158" s="214"/>
      <c r="O158" s="193"/>
      <c r="W158" s="214"/>
      <c r="X158" s="193"/>
      <c r="Z158" s="214"/>
      <c r="AA158" s="193"/>
      <c r="AC158" s="306"/>
      <c r="AD158" s="306"/>
      <c r="AE158" s="306"/>
      <c r="AF158" s="306"/>
      <c r="AG158" s="306"/>
    </row>
    <row r="159" spans="1:93" ht="15.75" customHeight="1" x14ac:dyDescent="0.35">
      <c r="C159" s="535" t="s">
        <v>878</v>
      </c>
      <c r="D159" s="55" t="s">
        <v>149</v>
      </c>
      <c r="F159" s="62" t="s">
        <v>76</v>
      </c>
      <c r="H159" s="192"/>
      <c r="J159" s="71"/>
      <c r="K159" s="71"/>
      <c r="L159" s="223"/>
      <c r="N159" s="214"/>
      <c r="O159" s="193"/>
      <c r="W159" s="214"/>
      <c r="X159" s="193"/>
      <c r="Z159" s="214"/>
      <c r="AA159" s="193"/>
      <c r="AC159" s="306"/>
      <c r="AD159" s="306"/>
      <c r="AE159" s="306"/>
      <c r="AF159" s="306"/>
      <c r="AG159" s="306"/>
    </row>
    <row r="160" spans="1:93" ht="15.75" customHeight="1" x14ac:dyDescent="0.35">
      <c r="C160" s="535" t="s">
        <v>879</v>
      </c>
      <c r="D160" s="55" t="s">
        <v>150</v>
      </c>
      <c r="F160" s="62" t="s">
        <v>76</v>
      </c>
      <c r="H160" s="192"/>
      <c r="J160" s="71"/>
      <c r="K160" s="71"/>
      <c r="L160" s="223"/>
      <c r="N160" s="214"/>
      <c r="O160" s="193"/>
      <c r="W160" s="214"/>
      <c r="X160" s="193"/>
      <c r="Z160" s="214"/>
      <c r="AA160" s="193"/>
      <c r="AC160" s="306"/>
      <c r="AD160" s="306"/>
      <c r="AE160" s="306"/>
      <c r="AF160" s="306"/>
      <c r="AG160" s="306"/>
    </row>
    <row r="161" spans="1:93" ht="15.75" customHeight="1" x14ac:dyDescent="0.35">
      <c r="C161" s="535" t="s">
        <v>880</v>
      </c>
      <c r="D161" s="55" t="s">
        <v>151</v>
      </c>
      <c r="F161" s="62" t="s">
        <v>76</v>
      </c>
      <c r="H161" s="192">
        <v>230</v>
      </c>
      <c r="J161" s="71">
        <f>(L161-H161)/L161</f>
        <v>0.5</v>
      </c>
      <c r="K161" s="221">
        <f t="shared" ref="K161:K162" si="81">ROUNDUP(L161/H161,2)</f>
        <v>2</v>
      </c>
      <c r="L161" s="223">
        <v>460</v>
      </c>
      <c r="N161" s="214">
        <v>0.35</v>
      </c>
      <c r="O161" s="193">
        <f>ROUNDUP(H161/-(N161-1),1)</f>
        <v>353.90000000000003</v>
      </c>
      <c r="V161" s="242"/>
      <c r="W161" s="214">
        <f>(X161-H161)/X161</f>
        <v>0.47368421052631576</v>
      </c>
      <c r="X161" s="215">
        <f>(H161*$W$2)</f>
        <v>437</v>
      </c>
      <c r="Z161" s="214">
        <f t="shared" ref="Z161:Z162" si="82">N161+3/100</f>
        <v>0.38</v>
      </c>
      <c r="AA161" s="223">
        <f>ROUNDUP(H161/-(Z161-1),3)</f>
        <v>370.96799999999996</v>
      </c>
      <c r="AC161" s="306"/>
      <c r="AD161" s="306"/>
      <c r="AE161" s="306"/>
      <c r="AF161" s="306"/>
      <c r="AG161" s="306"/>
    </row>
    <row r="162" spans="1:93" ht="17.25" customHeight="1" x14ac:dyDescent="0.35">
      <c r="C162" s="535" t="s">
        <v>881</v>
      </c>
      <c r="D162" s="55" t="s">
        <v>152</v>
      </c>
      <c r="F162" s="62" t="s">
        <v>76</v>
      </c>
      <c r="H162" s="192">
        <v>647</v>
      </c>
      <c r="J162" s="71">
        <f>(L162-H162)/L162</f>
        <v>0.5</v>
      </c>
      <c r="K162" s="221">
        <f t="shared" si="81"/>
        <v>2</v>
      </c>
      <c r="L162" s="223">
        <v>1294</v>
      </c>
      <c r="N162" s="214">
        <v>0.35</v>
      </c>
      <c r="O162" s="193">
        <f>ROUNDUP(H162/-(N162-1),1)</f>
        <v>995.4</v>
      </c>
      <c r="W162" s="214">
        <f>(X162-H162)/X162</f>
        <v>0.47368421052631576</v>
      </c>
      <c r="X162" s="215">
        <f>(H162*$W$2)</f>
        <v>1229.3</v>
      </c>
      <c r="Z162" s="214">
        <f t="shared" si="82"/>
        <v>0.38</v>
      </c>
      <c r="AA162" s="223">
        <f>ROUNDUP(H162/-(Z162-1),3)</f>
        <v>1043.549</v>
      </c>
      <c r="AC162" s="306"/>
      <c r="AD162" s="306"/>
      <c r="AE162" s="306"/>
      <c r="AF162" s="306"/>
      <c r="AG162" s="306"/>
    </row>
    <row r="163" spans="1:93" ht="15.75" customHeight="1" x14ac:dyDescent="0.35">
      <c r="C163" s="535"/>
      <c r="H163" s="192"/>
      <c r="J163" s="71"/>
      <c r="K163" s="221"/>
      <c r="L163" s="223"/>
      <c r="N163" s="214"/>
      <c r="O163" s="193"/>
      <c r="W163" s="214"/>
      <c r="X163" s="215"/>
      <c r="Z163" s="214"/>
      <c r="AA163" s="223"/>
      <c r="AC163" s="306"/>
      <c r="AD163" s="306"/>
      <c r="AE163" s="306"/>
      <c r="AF163" s="306"/>
      <c r="AG163" s="306"/>
    </row>
    <row r="164" spans="1:93" ht="15.75" customHeight="1" x14ac:dyDescent="0.35">
      <c r="B164" s="77"/>
      <c r="C164" s="542"/>
      <c r="D164" s="73" t="s">
        <v>153</v>
      </c>
      <c r="E164" s="73"/>
      <c r="F164" s="74"/>
      <c r="H164" s="202"/>
      <c r="J164" s="81"/>
      <c r="K164" s="81"/>
      <c r="L164" s="419"/>
      <c r="N164" s="198"/>
      <c r="O164" s="199"/>
      <c r="W164" s="218"/>
      <c r="X164" s="199"/>
      <c r="Z164" s="198"/>
      <c r="AA164" s="199"/>
      <c r="AC164" s="306"/>
      <c r="AD164" s="306"/>
      <c r="AE164" s="306"/>
      <c r="AF164" s="306"/>
      <c r="AG164" s="306"/>
    </row>
    <row r="165" spans="1:93" s="436" customFormat="1" ht="15.75" customHeight="1" x14ac:dyDescent="0.35">
      <c r="A165" s="55"/>
      <c r="B165" s="55"/>
      <c r="C165" s="535"/>
      <c r="D165" s="314"/>
      <c r="E165" s="55"/>
      <c r="F165" s="62"/>
      <c r="G165" s="58"/>
      <c r="H165" s="192"/>
      <c r="I165"/>
      <c r="J165" s="71"/>
      <c r="K165" s="221"/>
      <c r="L165" s="223"/>
      <c r="M165" s="58"/>
      <c r="N165" s="214"/>
      <c r="O165" s="193"/>
      <c r="P165"/>
      <c r="Q165"/>
      <c r="R165"/>
      <c r="S165"/>
      <c r="T165"/>
      <c r="U165"/>
      <c r="V165" s="55"/>
      <c r="W165" s="214"/>
      <c r="X165" s="215"/>
      <c r="Y165" s="55"/>
      <c r="Z165" s="214"/>
      <c r="AA165" s="223"/>
      <c r="AB165" s="55"/>
      <c r="AC165" s="306"/>
      <c r="AD165" s="306"/>
      <c r="AE165" s="306"/>
      <c r="AF165" s="306"/>
      <c r="AG165" s="306"/>
      <c r="AH165" s="55"/>
      <c r="AI165" s="55"/>
      <c r="AJ165" s="55"/>
      <c r="AK165" s="55"/>
      <c r="AL165" s="55"/>
      <c r="AM165" s="55"/>
      <c r="AN165" s="55"/>
      <c r="AO165" s="55"/>
      <c r="AP165" s="55"/>
      <c r="AQ165" s="55"/>
      <c r="AR165" s="55"/>
      <c r="AS165" s="55"/>
      <c r="AT165" s="55"/>
      <c r="AU165" s="55"/>
      <c r="AV165" s="55"/>
      <c r="AW165" s="55"/>
      <c r="AX165" s="55"/>
      <c r="AY165" s="55"/>
      <c r="AZ165" s="55"/>
      <c r="BA165" s="55"/>
      <c r="BB165" s="55"/>
      <c r="BC165" s="55"/>
      <c r="BD165" s="55"/>
      <c r="BE165" s="55"/>
      <c r="BF165" s="55"/>
      <c r="BG165" s="55"/>
      <c r="BH165" s="55"/>
      <c r="BI165" s="55"/>
      <c r="BJ165" s="55"/>
      <c r="BK165" s="55"/>
      <c r="BL165" s="55"/>
      <c r="BM165" s="55"/>
      <c r="BN165" s="55"/>
      <c r="BO165" s="55"/>
      <c r="BP165" s="55"/>
      <c r="BQ165" s="55"/>
      <c r="BR165" s="55"/>
      <c r="BS165" s="55"/>
      <c r="BT165" s="55"/>
      <c r="BU165" s="55"/>
      <c r="BV165" s="55"/>
      <c r="BW165" s="55"/>
      <c r="BX165" s="55"/>
      <c r="BY165" s="55"/>
      <c r="BZ165" s="55"/>
      <c r="CA165" s="55"/>
      <c r="CB165" s="55"/>
      <c r="CC165" s="55"/>
      <c r="CD165" s="55"/>
      <c r="CE165" s="55"/>
      <c r="CF165" s="55"/>
      <c r="CG165" s="55"/>
      <c r="CH165" s="55"/>
      <c r="CI165" s="55"/>
      <c r="CJ165" s="55"/>
      <c r="CK165" s="55"/>
      <c r="CL165" s="55"/>
      <c r="CM165" s="55"/>
      <c r="CN165" s="55"/>
      <c r="CO165" s="55"/>
    </row>
    <row r="166" spans="1:93" ht="17.25" customHeight="1" x14ac:dyDescent="0.35">
      <c r="C166" s="535" t="s">
        <v>882</v>
      </c>
      <c r="D166" s="55" t="s">
        <v>154</v>
      </c>
      <c r="F166" s="62" t="s">
        <v>76</v>
      </c>
      <c r="H166" s="204">
        <v>2902</v>
      </c>
      <c r="J166" s="71">
        <f>(L166-H166)/L166</f>
        <v>0.5</v>
      </c>
      <c r="K166" s="221">
        <f t="shared" ref="K166:K167" si="83">ROUNDUP(L166/H166,2)</f>
        <v>2</v>
      </c>
      <c r="L166" s="223">
        <v>5804</v>
      </c>
      <c r="N166" s="214">
        <v>0.35</v>
      </c>
      <c r="O166" s="193">
        <f>ROUNDUP(H166/-(N166-1),1)</f>
        <v>4464.7000000000007</v>
      </c>
      <c r="V166" s="242"/>
      <c r="W166" s="214">
        <f>(X166-H166)/X166</f>
        <v>0.47368421052631582</v>
      </c>
      <c r="X166" s="215">
        <f>(H166*$W$2)</f>
        <v>5513.8</v>
      </c>
      <c r="Z166" s="214">
        <f t="shared" ref="Z166:Z167" si="84">N166+3/100</f>
        <v>0.38</v>
      </c>
      <c r="AA166" s="223">
        <f>ROUNDUP(H166/-(Z166-1),3)</f>
        <v>4680.6460000000006</v>
      </c>
      <c r="AC166" s="306"/>
      <c r="AD166" s="306"/>
      <c r="AE166" s="306"/>
      <c r="AF166" s="306"/>
      <c r="AG166" s="306"/>
    </row>
    <row r="167" spans="1:93" ht="15" customHeight="1" x14ac:dyDescent="0.35">
      <c r="C167" s="535" t="s">
        <v>883</v>
      </c>
      <c r="D167" s="55" t="s">
        <v>155</v>
      </c>
      <c r="F167" s="62" t="s">
        <v>76</v>
      </c>
      <c r="H167" s="204">
        <v>3689</v>
      </c>
      <c r="J167" s="71">
        <f>(L167-H167)/L167</f>
        <v>0.5</v>
      </c>
      <c r="K167" s="221">
        <f t="shared" si="83"/>
        <v>2</v>
      </c>
      <c r="L167" s="223">
        <v>7378</v>
      </c>
      <c r="N167" s="214">
        <v>0.35</v>
      </c>
      <c r="O167" s="193">
        <f>ROUNDUP(H167/-(N167-1),1)</f>
        <v>5675.4000000000005</v>
      </c>
      <c r="W167" s="214">
        <f>(X167-H167)/X167</f>
        <v>0.47368421052631576</v>
      </c>
      <c r="X167" s="215">
        <f>(H167*$W$2)</f>
        <v>7009.0999999999995</v>
      </c>
      <c r="Z167" s="214">
        <f t="shared" si="84"/>
        <v>0.38</v>
      </c>
      <c r="AA167" s="223">
        <f>ROUNDUP(H167/-(Z167-1),3)</f>
        <v>5950</v>
      </c>
      <c r="AC167" s="306"/>
      <c r="AD167" s="306"/>
      <c r="AE167" s="306"/>
      <c r="AF167" s="306"/>
      <c r="AG167" s="306"/>
    </row>
    <row r="168" spans="1:93" ht="16.5" customHeight="1" x14ac:dyDescent="0.35">
      <c r="C168" s="535" t="s">
        <v>884</v>
      </c>
      <c r="D168" s="55" t="s">
        <v>156</v>
      </c>
      <c r="F168" s="62" t="s">
        <v>76</v>
      </c>
      <c r="H168" s="204">
        <v>3772.6</v>
      </c>
      <c r="J168" s="71">
        <f>(L168-H168)/L168</f>
        <v>0.5</v>
      </c>
      <c r="K168" s="221">
        <f t="shared" ref="K168:K169" si="85">ROUNDUP(L168/H168,2)</f>
        <v>2</v>
      </c>
      <c r="L168" s="223">
        <v>7545.2</v>
      </c>
      <c r="N168" s="214">
        <v>0.35</v>
      </c>
      <c r="O168" s="193">
        <f>ROUNDUP(H168/-(N168-1),1)</f>
        <v>5804</v>
      </c>
      <c r="V168" s="242"/>
      <c r="W168" s="214">
        <f>(X168-H168)/X168</f>
        <v>0.47368421052631576</v>
      </c>
      <c r="X168" s="215">
        <f>(H168*$W$2)</f>
        <v>7167.94</v>
      </c>
      <c r="Z168" s="214">
        <f t="shared" ref="Z168:Z169" si="86">N168+3/100</f>
        <v>0.38</v>
      </c>
      <c r="AA168" s="223">
        <f>ROUNDUP(H168/-(Z168-1),3)</f>
        <v>6084.8389999999999</v>
      </c>
      <c r="AC168" s="306"/>
      <c r="AD168" s="306"/>
      <c r="AE168" s="306"/>
      <c r="AF168" s="306"/>
      <c r="AG168" s="306"/>
    </row>
    <row r="169" spans="1:93" ht="16.5" customHeight="1" x14ac:dyDescent="0.35">
      <c r="C169" s="535" t="s">
        <v>885</v>
      </c>
      <c r="D169" s="55" t="s">
        <v>157</v>
      </c>
      <c r="F169" s="62" t="s">
        <v>76</v>
      </c>
      <c r="H169" s="204">
        <v>4056</v>
      </c>
      <c r="J169" s="71">
        <f>(L169-H169)/L169</f>
        <v>0.5</v>
      </c>
      <c r="K169" s="221">
        <f t="shared" si="85"/>
        <v>2</v>
      </c>
      <c r="L169" s="223">
        <v>8112</v>
      </c>
      <c r="N169" s="214">
        <v>0.35</v>
      </c>
      <c r="O169" s="193">
        <f>ROUNDUP(H169/-(N169-1),1)</f>
        <v>6240</v>
      </c>
      <c r="W169" s="214">
        <f>(X169-H169)/X169</f>
        <v>0.47368421052631576</v>
      </c>
      <c r="X169" s="215">
        <f>(H169*$W$2)</f>
        <v>7706.4</v>
      </c>
      <c r="Z169" s="214">
        <f t="shared" si="86"/>
        <v>0.38</v>
      </c>
      <c r="AA169" s="223">
        <f>ROUNDUP(H169/-(Z169-1),3)</f>
        <v>6541.9360000000006</v>
      </c>
      <c r="AC169" s="306"/>
      <c r="AD169" s="306"/>
      <c r="AE169" s="306"/>
      <c r="AF169" s="306"/>
      <c r="AG169" s="306"/>
    </row>
    <row r="170" spans="1:93" ht="16.5" customHeight="1" x14ac:dyDescent="0.35">
      <c r="C170" s="535"/>
      <c r="D170" s="314"/>
      <c r="H170" s="192"/>
      <c r="J170" s="71"/>
      <c r="K170" s="221"/>
      <c r="L170" s="223"/>
      <c r="N170" s="214"/>
      <c r="O170" s="193"/>
      <c r="W170" s="214"/>
      <c r="X170" s="215"/>
      <c r="Z170" s="214"/>
      <c r="AA170" s="223"/>
      <c r="AC170" s="306"/>
      <c r="AD170" s="306"/>
      <c r="AE170" s="306"/>
      <c r="AF170" s="306"/>
      <c r="AG170" s="306"/>
    </row>
    <row r="171" spans="1:93" ht="16.5" customHeight="1" x14ac:dyDescent="0.35">
      <c r="C171" s="535"/>
      <c r="D171" s="64" t="s">
        <v>158</v>
      </c>
      <c r="E171" s="64"/>
      <c r="F171" s="66"/>
      <c r="H171" s="192"/>
      <c r="J171" s="71"/>
      <c r="K171" s="71"/>
      <c r="L171" s="223"/>
      <c r="N171" s="214"/>
      <c r="O171" s="193"/>
      <c r="W171" s="214"/>
      <c r="X171" s="193"/>
      <c r="Z171" s="214"/>
      <c r="AA171" s="193"/>
      <c r="AC171" s="306"/>
      <c r="AD171" s="306"/>
      <c r="AE171" s="306"/>
      <c r="AF171" s="306"/>
      <c r="AG171" s="306"/>
    </row>
    <row r="172" spans="1:93" ht="16.5" customHeight="1" x14ac:dyDescent="0.35">
      <c r="C172" s="535" t="s">
        <v>886</v>
      </c>
      <c r="D172" s="55" t="s">
        <v>159</v>
      </c>
      <c r="F172" s="62" t="s">
        <v>76</v>
      </c>
      <c r="H172" s="204">
        <v>0</v>
      </c>
      <c r="J172" s="71" t="e">
        <f t="shared" ref="J172:J173" si="87">(L172-H172)/L172</f>
        <v>#DIV/0!</v>
      </c>
      <c r="K172" s="71"/>
      <c r="L172" s="223">
        <v>0</v>
      </c>
      <c r="N172" s="214">
        <v>0.35</v>
      </c>
      <c r="O172" s="193">
        <f t="shared" ref="O172:O173" si="88">ROUNDUP(H172/-(N172-1),1)</f>
        <v>0</v>
      </c>
      <c r="W172" s="214"/>
      <c r="X172" s="193"/>
      <c r="Z172" s="214">
        <f t="shared" ref="Z172:Z174" si="89">N172+3/100</f>
        <v>0.38</v>
      </c>
      <c r="AA172" s="223">
        <f t="shared" ref="AA172:AA173" si="90">ROUNDUP(H172/-(Z172-1),3)</f>
        <v>0</v>
      </c>
      <c r="AC172" s="306"/>
      <c r="AD172" s="306"/>
      <c r="AE172" s="306"/>
      <c r="AF172" s="306"/>
      <c r="AG172" s="306"/>
    </row>
    <row r="173" spans="1:93" ht="15.75" customHeight="1" x14ac:dyDescent="0.35">
      <c r="C173" s="535" t="s">
        <v>887</v>
      </c>
      <c r="D173" s="55" t="s">
        <v>149</v>
      </c>
      <c r="F173" s="62" t="s">
        <v>76</v>
      </c>
      <c r="H173" s="204">
        <v>0</v>
      </c>
      <c r="J173" s="71" t="e">
        <f t="shared" si="87"/>
        <v>#DIV/0!</v>
      </c>
      <c r="K173" s="71"/>
      <c r="L173" s="223">
        <v>0</v>
      </c>
      <c r="N173" s="214">
        <v>0.35</v>
      </c>
      <c r="O173" s="193">
        <f t="shared" si="88"/>
        <v>0</v>
      </c>
      <c r="W173" s="214"/>
      <c r="X173" s="193"/>
      <c r="Z173" s="214">
        <f t="shared" si="89"/>
        <v>0.38</v>
      </c>
      <c r="AA173" s="223">
        <f t="shared" si="90"/>
        <v>0</v>
      </c>
      <c r="AC173" s="306"/>
      <c r="AD173" s="306"/>
      <c r="AE173" s="306"/>
      <c r="AF173" s="306"/>
      <c r="AG173" s="306"/>
    </row>
    <row r="174" spans="1:93" x14ac:dyDescent="0.35">
      <c r="C174" s="535" t="s">
        <v>888</v>
      </c>
      <c r="D174" s="55" t="s">
        <v>160</v>
      </c>
      <c r="F174" s="62" t="s">
        <v>76</v>
      </c>
      <c r="H174" s="204">
        <v>0</v>
      </c>
      <c r="J174" s="71" t="e">
        <f>(L174-H174)/L174</f>
        <v>#DIV/0!</v>
      </c>
      <c r="K174" s="221" t="e">
        <f t="shared" ref="K174" si="91">ROUNDUP(L174/H174,2)</f>
        <v>#DIV/0!</v>
      </c>
      <c r="L174" s="223">
        <v>0</v>
      </c>
      <c r="N174" s="214">
        <v>0.35</v>
      </c>
      <c r="O174" s="193">
        <f>ROUNDUP(H174/-(N174-1),1)</f>
        <v>0</v>
      </c>
      <c r="V174" s="242"/>
      <c r="W174" s="214" t="e">
        <f>(X174-H174)/X174</f>
        <v>#DIV/0!</v>
      </c>
      <c r="X174" s="215">
        <f>(H174*$W$2)</f>
        <v>0</v>
      </c>
      <c r="Z174" s="214">
        <f t="shared" si="89"/>
        <v>0.38</v>
      </c>
      <c r="AA174" s="223">
        <f>ROUNDUP(H174/-(Z174-1),3)</f>
        <v>0</v>
      </c>
      <c r="AC174" s="306"/>
      <c r="AD174" s="306"/>
      <c r="AE174" s="306"/>
      <c r="AF174" s="306"/>
      <c r="AG174" s="306"/>
    </row>
    <row r="175" spans="1:93" ht="14.25" customHeight="1" x14ac:dyDescent="0.35">
      <c r="C175" s="535"/>
      <c r="D175" s="314"/>
      <c r="H175" s="192"/>
      <c r="J175" s="71"/>
      <c r="K175" s="221"/>
      <c r="L175" s="223"/>
      <c r="N175" s="214"/>
      <c r="O175" s="193"/>
      <c r="W175" s="214"/>
      <c r="X175" s="215"/>
      <c r="Z175" s="214"/>
      <c r="AA175" s="223"/>
      <c r="AC175" s="306"/>
      <c r="AD175" s="306"/>
      <c r="AE175" s="306"/>
      <c r="AF175" s="306"/>
      <c r="AG175" s="306"/>
    </row>
    <row r="176" spans="1:93" x14ac:dyDescent="0.35">
      <c r="B176" s="77"/>
      <c r="C176" s="542"/>
      <c r="D176" s="73" t="s">
        <v>161</v>
      </c>
      <c r="E176" s="73"/>
      <c r="F176" s="74"/>
      <c r="H176" s="202"/>
      <c r="J176" s="81"/>
      <c r="K176" s="81"/>
      <c r="L176" s="419"/>
      <c r="N176" s="198"/>
      <c r="O176" s="199"/>
      <c r="W176" s="218"/>
      <c r="X176" s="199"/>
      <c r="Z176" s="198"/>
      <c r="AA176" s="199"/>
      <c r="AC176" s="306">
        <v>250.5</v>
      </c>
      <c r="AD176" s="306"/>
      <c r="AE176" s="306"/>
      <c r="AF176" s="306"/>
      <c r="AG176" s="306">
        <v>276</v>
      </c>
    </row>
    <row r="177" spans="3:33" ht="19.5" customHeight="1" x14ac:dyDescent="0.35">
      <c r="C177" s="535"/>
      <c r="D177" s="314"/>
      <c r="H177" s="192"/>
      <c r="J177" s="71"/>
      <c r="K177" s="221"/>
      <c r="L177" s="223"/>
      <c r="N177" s="214"/>
      <c r="O177" s="193"/>
      <c r="W177" s="214"/>
      <c r="X177" s="215"/>
      <c r="Z177" s="214"/>
      <c r="AA177" s="223"/>
      <c r="AC177" s="306"/>
      <c r="AD177" s="306"/>
      <c r="AE177" s="306"/>
      <c r="AF177" s="306"/>
      <c r="AG177" s="306"/>
    </row>
    <row r="178" spans="3:33" x14ac:dyDescent="0.35">
      <c r="C178" s="535" t="s">
        <v>889</v>
      </c>
      <c r="D178" s="314" t="s">
        <v>162</v>
      </c>
      <c r="F178" s="62" t="s">
        <v>76</v>
      </c>
      <c r="H178" s="192">
        <v>47</v>
      </c>
      <c r="J178" s="71">
        <f t="shared" ref="J178:J183" si="92">(L178-H178)/L178</f>
        <v>0.5</v>
      </c>
      <c r="K178" s="221">
        <f t="shared" ref="K178:K184" si="93">ROUNDUP(L178/H178,2)</f>
        <v>2</v>
      </c>
      <c r="L178" s="223">
        <v>94</v>
      </c>
      <c r="N178" s="214">
        <v>0.5</v>
      </c>
      <c r="O178" s="193">
        <f t="shared" ref="O178:O184" si="94">ROUNDUP(H178/-(N178-1),1)</f>
        <v>94</v>
      </c>
      <c r="W178" s="214">
        <f t="shared" ref="W178:W184" si="95">(X178-H178)/X178</f>
        <v>0.47368421052631576</v>
      </c>
      <c r="X178" s="215">
        <f t="shared" ref="X178:X184" si="96">(H178*$W$2)</f>
        <v>89.3</v>
      </c>
      <c r="Z178" s="214">
        <v>0.5</v>
      </c>
      <c r="AA178" s="223">
        <f t="shared" ref="AA178:AA184" si="97">ROUNDUP(H178/-(Z178-1),3)</f>
        <v>94</v>
      </c>
      <c r="AC178" s="306"/>
      <c r="AD178" s="306"/>
      <c r="AE178" s="306"/>
      <c r="AF178" s="306"/>
      <c r="AG178" s="306"/>
    </row>
    <row r="179" spans="3:33" x14ac:dyDescent="0.35">
      <c r="C179" s="535" t="s">
        <v>890</v>
      </c>
      <c r="D179" s="314" t="s">
        <v>163</v>
      </c>
      <c r="F179" s="62" t="s">
        <v>76</v>
      </c>
      <c r="H179" s="192">
        <v>72</v>
      </c>
      <c r="J179" s="71">
        <f t="shared" si="92"/>
        <v>0.5</v>
      </c>
      <c r="K179" s="221">
        <f t="shared" si="93"/>
        <v>2</v>
      </c>
      <c r="L179" s="223">
        <v>144</v>
      </c>
      <c r="N179" s="214">
        <v>0.5</v>
      </c>
      <c r="O179" s="193">
        <f t="shared" si="94"/>
        <v>144</v>
      </c>
      <c r="V179" s="242"/>
      <c r="W179" s="214">
        <f t="shared" si="95"/>
        <v>0.47368421052631571</v>
      </c>
      <c r="X179" s="215">
        <f t="shared" si="96"/>
        <v>136.79999999999998</v>
      </c>
      <c r="Z179" s="214">
        <v>0.5</v>
      </c>
      <c r="AA179" s="223">
        <f t="shared" si="97"/>
        <v>144</v>
      </c>
      <c r="AC179" s="306"/>
      <c r="AD179" s="306"/>
      <c r="AE179" s="306"/>
      <c r="AF179" s="306"/>
      <c r="AG179" s="306"/>
    </row>
    <row r="180" spans="3:33" x14ac:dyDescent="0.35">
      <c r="C180" s="535" t="s">
        <v>891</v>
      </c>
      <c r="D180" s="314" t="s">
        <v>164</v>
      </c>
      <c r="F180" s="62" t="s">
        <v>76</v>
      </c>
      <c r="H180" s="192">
        <v>109</v>
      </c>
      <c r="J180" s="71">
        <f t="shared" ref="J180" si="98">(L180-H180)/L180</f>
        <v>0.50454545454545452</v>
      </c>
      <c r="K180" s="221">
        <f t="shared" ref="K180" si="99">ROUNDUP(L180/H180,2)</f>
        <v>2.0199999999999996</v>
      </c>
      <c r="L180" s="223">
        <v>220</v>
      </c>
      <c r="N180" s="214">
        <v>0.5</v>
      </c>
      <c r="O180" s="193">
        <f t="shared" ref="O180" si="100">ROUNDUP(H180/-(N180-1),1)</f>
        <v>218</v>
      </c>
      <c r="V180" s="242"/>
      <c r="W180" s="214">
        <f t="shared" ref="W180" si="101">(X180-H180)/X180</f>
        <v>0.47368421052631576</v>
      </c>
      <c r="X180" s="215">
        <f t="shared" ref="X180" si="102">(H180*$W$2)</f>
        <v>207.1</v>
      </c>
      <c r="Z180" s="214">
        <v>0.5</v>
      </c>
      <c r="AA180" s="223">
        <f t="shared" ref="AA180" si="103">ROUNDUP(H180/-(Z180-1),3)</f>
        <v>218</v>
      </c>
      <c r="AC180" s="306">
        <v>63.32</v>
      </c>
      <c r="AD180" s="306"/>
      <c r="AE180" s="306"/>
      <c r="AF180" s="306"/>
      <c r="AG180" s="306">
        <v>66.900000000000006</v>
      </c>
    </row>
    <row r="181" spans="3:33" x14ac:dyDescent="0.35">
      <c r="C181" s="535" t="s">
        <v>892</v>
      </c>
      <c r="D181" s="314" t="s">
        <v>165</v>
      </c>
      <c r="F181" s="62" t="s">
        <v>76</v>
      </c>
      <c r="H181" s="192">
        <v>176.5</v>
      </c>
      <c r="J181" s="71">
        <f t="shared" si="92"/>
        <v>0.49571428571428572</v>
      </c>
      <c r="K181" s="221">
        <f t="shared" si="93"/>
        <v>1.99</v>
      </c>
      <c r="L181" s="223">
        <v>350</v>
      </c>
      <c r="N181" s="214">
        <v>0.35</v>
      </c>
      <c r="O181" s="193">
        <f>ROUNDUP(H181/-(N181-1),1)</f>
        <v>271.60000000000002</v>
      </c>
      <c r="W181" s="214">
        <f t="shared" si="95"/>
        <v>0.47368421052631576</v>
      </c>
      <c r="X181" s="215">
        <f t="shared" si="96"/>
        <v>335.34999999999997</v>
      </c>
      <c r="Z181" s="214">
        <f>N181+3/100</f>
        <v>0.38</v>
      </c>
      <c r="AA181" s="223">
        <f t="shared" si="97"/>
        <v>284.678</v>
      </c>
      <c r="AC181" s="306"/>
      <c r="AD181" s="306"/>
      <c r="AE181" s="306"/>
      <c r="AF181" s="306"/>
      <c r="AG181" s="306"/>
    </row>
    <row r="182" spans="3:33" x14ac:dyDescent="0.35">
      <c r="C182" s="535" t="s">
        <v>893</v>
      </c>
      <c r="D182" s="314" t="s">
        <v>166</v>
      </c>
      <c r="F182" s="62" t="s">
        <v>76</v>
      </c>
      <c r="H182" s="192">
        <v>280</v>
      </c>
      <c r="J182" s="71">
        <f t="shared" si="92"/>
        <v>0.5</v>
      </c>
      <c r="K182" s="221">
        <f t="shared" si="93"/>
        <v>2</v>
      </c>
      <c r="L182" s="223">
        <v>560</v>
      </c>
      <c r="N182" s="214">
        <v>0.35</v>
      </c>
      <c r="O182" s="193">
        <f t="shared" ref="O182:O183" si="104">ROUNDUP(H182/-(N182-1),1)</f>
        <v>430.8</v>
      </c>
      <c r="W182" s="214">
        <f t="shared" si="95"/>
        <v>0.47368421052631576</v>
      </c>
      <c r="X182" s="215">
        <f t="shared" si="96"/>
        <v>532</v>
      </c>
      <c r="Z182" s="214">
        <f t="shared" ref="Z182:Z183" si="105">N182+3/100</f>
        <v>0.38</v>
      </c>
      <c r="AA182" s="223">
        <f t="shared" si="97"/>
        <v>451.613</v>
      </c>
      <c r="AC182" s="306"/>
      <c r="AD182" s="306"/>
      <c r="AE182" s="306"/>
      <c r="AF182" s="306"/>
      <c r="AG182" s="306"/>
    </row>
    <row r="183" spans="3:33" ht="15" thickBot="1" x14ac:dyDescent="0.4">
      <c r="C183" s="535" t="s">
        <v>894</v>
      </c>
      <c r="D183" s="314" t="s">
        <v>167</v>
      </c>
      <c r="F183" s="62" t="s">
        <v>76</v>
      </c>
      <c r="H183" s="192">
        <v>300</v>
      </c>
      <c r="J183" s="71">
        <f t="shared" si="92"/>
        <v>0.5</v>
      </c>
      <c r="K183" s="221">
        <f t="shared" si="93"/>
        <v>2</v>
      </c>
      <c r="L183" s="223">
        <v>600</v>
      </c>
      <c r="N183" s="214">
        <v>0.35</v>
      </c>
      <c r="O183" s="193">
        <f t="shared" si="104"/>
        <v>461.6</v>
      </c>
      <c r="W183" s="214">
        <f t="shared" si="95"/>
        <v>0.47368421052631576</v>
      </c>
      <c r="X183" s="215">
        <f t="shared" si="96"/>
        <v>570</v>
      </c>
      <c r="Z183" s="214">
        <f t="shared" si="105"/>
        <v>0.38</v>
      </c>
      <c r="AA183" s="223">
        <f t="shared" si="97"/>
        <v>483.87099999999998</v>
      </c>
      <c r="AC183" s="306"/>
      <c r="AD183" s="306"/>
      <c r="AE183" s="306"/>
      <c r="AF183" s="306"/>
      <c r="AG183" s="306"/>
    </row>
    <row r="184" spans="3:33" x14ac:dyDescent="0.35">
      <c r="C184" s="535" t="s">
        <v>895</v>
      </c>
      <c r="D184" s="314" t="s">
        <v>168</v>
      </c>
      <c r="E184" s="412">
        <f>METRAJE!I101</f>
        <v>0</v>
      </c>
      <c r="F184" s="62" t="s">
        <v>76</v>
      </c>
      <c r="H184" s="192">
        <f>IF(METRAJE!I101&lt;1,0,115.43*E184+517.64)</f>
        <v>0</v>
      </c>
      <c r="J184" s="71">
        <v>0.5</v>
      </c>
      <c r="K184" s="221" t="e">
        <f t="shared" si="93"/>
        <v>#DIV/0!</v>
      </c>
      <c r="L184" s="223">
        <f t="shared" ref="L184:L192" si="106">ROUNDUP(H184/-(J184-1),1)</f>
        <v>0</v>
      </c>
      <c r="N184" s="214">
        <v>0.35</v>
      </c>
      <c r="O184" s="193">
        <f t="shared" si="94"/>
        <v>0</v>
      </c>
      <c r="W184" s="214" t="e">
        <f t="shared" si="95"/>
        <v>#DIV/0!</v>
      </c>
      <c r="X184" s="215">
        <f t="shared" si="96"/>
        <v>0</v>
      </c>
      <c r="Z184" s="214">
        <f t="shared" ref="Z184" si="107">N184+3/100</f>
        <v>0.38</v>
      </c>
      <c r="AA184" s="223">
        <f t="shared" si="97"/>
        <v>0</v>
      </c>
      <c r="AC184" s="306"/>
      <c r="AD184" s="306"/>
      <c r="AE184" s="306"/>
      <c r="AF184" s="306"/>
      <c r="AG184" s="306"/>
    </row>
    <row r="185" spans="3:33" ht="18.75" customHeight="1" x14ac:dyDescent="0.35">
      <c r="C185" s="535" t="s">
        <v>895</v>
      </c>
      <c r="D185" s="314" t="s">
        <v>169</v>
      </c>
      <c r="E185" s="413">
        <f>METRAJE!I102</f>
        <v>0</v>
      </c>
      <c r="F185" s="62" t="s">
        <v>76</v>
      </c>
      <c r="H185" s="192">
        <f>IF(METRAJE!I102&lt;1,0,115.43*E185+517.64)</f>
        <v>0</v>
      </c>
      <c r="J185" s="71">
        <v>0.5</v>
      </c>
      <c r="K185" s="221" t="e">
        <f t="shared" ref="K185:K189" si="108">ROUNDUP(L185/H185,2)</f>
        <v>#DIV/0!</v>
      </c>
      <c r="L185" s="223">
        <f t="shared" si="106"/>
        <v>0</v>
      </c>
      <c r="N185" s="214">
        <v>0.35</v>
      </c>
      <c r="O185" s="193">
        <f t="shared" ref="O185:O192" si="109">ROUNDUP(H185/-(N185-1),1)</f>
        <v>0</v>
      </c>
      <c r="W185" s="214" t="e">
        <f t="shared" ref="W185:W189" si="110">(X185-H185)/X185</f>
        <v>#DIV/0!</v>
      </c>
      <c r="X185" s="215">
        <f t="shared" ref="X185:X189" si="111">(H185*$W$2)</f>
        <v>0</v>
      </c>
      <c r="Z185" s="214">
        <f t="shared" ref="Z185:Z192" si="112">N185+3/100</f>
        <v>0.38</v>
      </c>
      <c r="AA185" s="223">
        <f t="shared" ref="AA185:AA192" si="113">ROUNDUP(H185/-(Z185-1),3)</f>
        <v>0</v>
      </c>
      <c r="AC185" s="306"/>
      <c r="AD185" s="306"/>
      <c r="AE185" s="306"/>
      <c r="AF185" s="306"/>
      <c r="AG185" s="306"/>
    </row>
    <row r="186" spans="3:33" x14ac:dyDescent="0.35">
      <c r="C186" s="535" t="s">
        <v>895</v>
      </c>
      <c r="D186" s="314" t="s">
        <v>170</v>
      </c>
      <c r="E186" s="413">
        <f>METRAJE!I103</f>
        <v>0</v>
      </c>
      <c r="F186" s="62" t="s">
        <v>76</v>
      </c>
      <c r="H186" s="192">
        <f>IF(METRAJE!I103&lt;1,0,115.43*E186+517.64)</f>
        <v>0</v>
      </c>
      <c r="J186" s="71">
        <v>0.5</v>
      </c>
      <c r="K186" s="221" t="e">
        <f t="shared" si="108"/>
        <v>#DIV/0!</v>
      </c>
      <c r="L186" s="223">
        <f t="shared" si="106"/>
        <v>0</v>
      </c>
      <c r="N186" s="214">
        <v>0.35</v>
      </c>
      <c r="O186" s="193">
        <f t="shared" si="109"/>
        <v>0</v>
      </c>
      <c r="W186" s="214" t="e">
        <f t="shared" si="110"/>
        <v>#DIV/0!</v>
      </c>
      <c r="X186" s="215">
        <f t="shared" si="111"/>
        <v>0</v>
      </c>
      <c r="Z186" s="214">
        <f t="shared" si="112"/>
        <v>0.38</v>
      </c>
      <c r="AA186" s="223">
        <f t="shared" si="113"/>
        <v>0</v>
      </c>
      <c r="AC186" s="306"/>
      <c r="AD186" s="306"/>
      <c r="AE186" s="306"/>
      <c r="AF186" s="306"/>
      <c r="AG186" s="306"/>
    </row>
    <row r="187" spans="3:33" ht="15" customHeight="1" x14ac:dyDescent="0.35">
      <c r="C187" s="535" t="s">
        <v>895</v>
      </c>
      <c r="D187" s="314" t="s">
        <v>171</v>
      </c>
      <c r="E187" s="413">
        <f>METRAJE!I104</f>
        <v>0</v>
      </c>
      <c r="F187" s="62" t="s">
        <v>76</v>
      </c>
      <c r="H187" s="192">
        <f>IF(METRAJE!I104&lt;1,0,115.43*E187+517.64)</f>
        <v>0</v>
      </c>
      <c r="J187" s="71">
        <v>0.5</v>
      </c>
      <c r="K187" s="221" t="e">
        <f t="shared" si="108"/>
        <v>#DIV/0!</v>
      </c>
      <c r="L187" s="223">
        <f t="shared" si="106"/>
        <v>0</v>
      </c>
      <c r="N187" s="214">
        <v>0.35</v>
      </c>
      <c r="O187" s="193">
        <f t="shared" si="109"/>
        <v>0</v>
      </c>
      <c r="W187" s="214" t="e">
        <f t="shared" si="110"/>
        <v>#DIV/0!</v>
      </c>
      <c r="X187" s="215">
        <f t="shared" si="111"/>
        <v>0</v>
      </c>
      <c r="Z187" s="214">
        <f t="shared" si="112"/>
        <v>0.38</v>
      </c>
      <c r="AA187" s="223">
        <f t="shared" si="113"/>
        <v>0</v>
      </c>
      <c r="AC187" s="306"/>
      <c r="AD187" s="306"/>
      <c r="AE187" s="306"/>
      <c r="AF187" s="306"/>
      <c r="AG187" s="306"/>
    </row>
    <row r="188" spans="3:33" x14ac:dyDescent="0.35">
      <c r="C188" s="535" t="s">
        <v>895</v>
      </c>
      <c r="D188" s="314" t="s">
        <v>172</v>
      </c>
      <c r="E188" s="413">
        <f>METRAJE!I105</f>
        <v>0</v>
      </c>
      <c r="F188" s="62" t="s">
        <v>76</v>
      </c>
      <c r="H188" s="192">
        <f>IF(METRAJE!I105&lt;1,0,115.43*E188+517.64)</f>
        <v>0</v>
      </c>
      <c r="J188" s="71">
        <v>0.5</v>
      </c>
      <c r="K188" s="221" t="e">
        <f t="shared" ref="K188" si="114">ROUNDUP(L188/H188,2)</f>
        <v>#DIV/0!</v>
      </c>
      <c r="L188" s="223">
        <f t="shared" si="106"/>
        <v>0</v>
      </c>
      <c r="N188" s="214">
        <v>0.35</v>
      </c>
      <c r="O188" s="193">
        <f t="shared" ref="O188" si="115">ROUNDUP(H188/-(N188-1),1)</f>
        <v>0</v>
      </c>
      <c r="W188" s="214" t="e">
        <f t="shared" ref="W188" si="116">(X188-H188)/X188</f>
        <v>#DIV/0!</v>
      </c>
      <c r="X188" s="215">
        <f t="shared" ref="X188" si="117">(H188*$W$2)</f>
        <v>0</v>
      </c>
      <c r="Z188" s="214">
        <f t="shared" ref="Z188" si="118">N188+3/100</f>
        <v>0.38</v>
      </c>
      <c r="AA188" s="223">
        <f t="shared" ref="AA188" si="119">ROUNDUP(H188/-(Z188-1),3)</f>
        <v>0</v>
      </c>
      <c r="AC188" s="306">
        <v>144.22999999999999</v>
      </c>
      <c r="AD188" s="306"/>
      <c r="AE188" s="306"/>
      <c r="AF188" s="306">
        <f>0.8*158.67</f>
        <v>126.93599999999999</v>
      </c>
      <c r="AG188" s="306"/>
    </row>
    <row r="189" spans="3:33" ht="15" thickBot="1" x14ac:dyDescent="0.4">
      <c r="C189" s="535" t="s">
        <v>895</v>
      </c>
      <c r="D189" s="314" t="s">
        <v>173</v>
      </c>
      <c r="E189" s="413">
        <f>METRAJE!I106</f>
        <v>0</v>
      </c>
      <c r="F189" s="62" t="s">
        <v>76</v>
      </c>
      <c r="H189" s="192">
        <f>IF(METRAJE!I106&lt;1,0,115.43*E189+517.64)</f>
        <v>0</v>
      </c>
      <c r="J189" s="71">
        <v>0.5</v>
      </c>
      <c r="K189" s="221" t="e">
        <f t="shared" si="108"/>
        <v>#DIV/0!</v>
      </c>
      <c r="L189" s="223">
        <f t="shared" si="106"/>
        <v>0</v>
      </c>
      <c r="N189" s="214">
        <v>0.35</v>
      </c>
      <c r="O189" s="193">
        <f t="shared" si="109"/>
        <v>0</v>
      </c>
      <c r="W189" s="214" t="e">
        <f t="shared" si="110"/>
        <v>#DIV/0!</v>
      </c>
      <c r="X189" s="215">
        <f t="shared" si="111"/>
        <v>0</v>
      </c>
      <c r="Z189" s="214">
        <f t="shared" si="112"/>
        <v>0.38</v>
      </c>
      <c r="AA189" s="223">
        <f t="shared" si="113"/>
        <v>0</v>
      </c>
      <c r="AC189" s="306"/>
      <c r="AD189" s="306"/>
      <c r="AE189" s="306"/>
      <c r="AF189" s="306"/>
      <c r="AG189" s="306"/>
    </row>
    <row r="190" spans="3:33" ht="15" thickBot="1" x14ac:dyDescent="0.4">
      <c r="C190" s="535"/>
      <c r="E190" s="411" t="s">
        <v>174</v>
      </c>
      <c r="H190" s="192"/>
      <c r="J190" s="71"/>
      <c r="K190" s="71"/>
      <c r="L190" s="223"/>
      <c r="N190" s="214"/>
      <c r="O190" s="193"/>
      <c r="W190" s="214"/>
      <c r="X190" s="193"/>
      <c r="Z190" s="214"/>
      <c r="AA190" s="193"/>
      <c r="AC190" s="306"/>
      <c r="AD190" s="306"/>
      <c r="AE190" s="306"/>
      <c r="AF190" s="306"/>
      <c r="AG190" s="306"/>
    </row>
    <row r="191" spans="3:33" x14ac:dyDescent="0.35">
      <c r="C191" s="535"/>
      <c r="D191" s="55" t="s">
        <v>1023</v>
      </c>
      <c r="E191" s="549"/>
      <c r="F191" s="62" t="s">
        <v>76</v>
      </c>
      <c r="H191" s="192">
        <v>500</v>
      </c>
      <c r="J191" s="71">
        <v>0.5</v>
      </c>
      <c r="K191" s="71"/>
      <c r="L191" s="223">
        <f t="shared" si="106"/>
        <v>1000</v>
      </c>
      <c r="N191" s="214">
        <v>0.35</v>
      </c>
      <c r="O191" s="193">
        <f t="shared" si="109"/>
        <v>769.30000000000007</v>
      </c>
      <c r="W191" s="214"/>
      <c r="X191" s="193"/>
      <c r="Z191" s="214">
        <f t="shared" si="112"/>
        <v>0.38</v>
      </c>
      <c r="AA191" s="223">
        <f t="shared" si="113"/>
        <v>806.452</v>
      </c>
      <c r="AC191" s="306"/>
      <c r="AD191" s="306"/>
      <c r="AE191" s="306"/>
      <c r="AF191" s="306"/>
      <c r="AG191" s="306"/>
    </row>
    <row r="192" spans="3:33" x14ac:dyDescent="0.35">
      <c r="C192" s="535"/>
      <c r="D192" s="186" t="s">
        <v>1024</v>
      </c>
      <c r="E192" s="549"/>
      <c r="F192" s="62" t="s">
        <v>76</v>
      </c>
      <c r="H192" s="192">
        <v>200</v>
      </c>
      <c r="J192" s="71">
        <v>0.5</v>
      </c>
      <c r="K192" s="71"/>
      <c r="L192" s="223">
        <f t="shared" si="106"/>
        <v>400</v>
      </c>
      <c r="N192" s="214">
        <v>0.35</v>
      </c>
      <c r="O192" s="193">
        <f t="shared" si="109"/>
        <v>307.70000000000005</v>
      </c>
      <c r="W192" s="214"/>
      <c r="X192" s="193"/>
      <c r="Z192" s="214">
        <f t="shared" si="112"/>
        <v>0.38</v>
      </c>
      <c r="AA192" s="223">
        <f t="shared" si="113"/>
        <v>322.58099999999996</v>
      </c>
      <c r="AC192" s="306"/>
      <c r="AD192" s="306"/>
      <c r="AE192" s="306"/>
      <c r="AF192" s="306"/>
      <c r="AG192" s="306"/>
    </row>
    <row r="193" spans="2:33" x14ac:dyDescent="0.35">
      <c r="C193" s="535"/>
      <c r="E193" s="549"/>
      <c r="H193" s="192"/>
      <c r="J193" s="71"/>
      <c r="K193" s="71"/>
      <c r="L193" s="223"/>
      <c r="N193" s="214"/>
      <c r="O193" s="193"/>
      <c r="W193" s="214"/>
      <c r="X193" s="193"/>
      <c r="Z193" s="214"/>
      <c r="AA193" s="193"/>
      <c r="AC193" s="306"/>
      <c r="AD193" s="306"/>
      <c r="AE193" s="306"/>
      <c r="AF193" s="306"/>
      <c r="AG193" s="306"/>
    </row>
    <row r="194" spans="2:33" x14ac:dyDescent="0.35">
      <c r="B194" s="77"/>
      <c r="C194" s="542"/>
      <c r="D194" s="73" t="s">
        <v>175</v>
      </c>
      <c r="E194" s="73"/>
      <c r="F194" s="74"/>
      <c r="G194" s="75"/>
      <c r="H194" s="202"/>
      <c r="J194" s="81"/>
      <c r="K194" s="81"/>
      <c r="L194" s="419"/>
      <c r="N194" s="198"/>
      <c r="O194" s="199"/>
      <c r="W194" s="218"/>
      <c r="X194" s="199"/>
      <c r="Z194" s="198"/>
      <c r="AA194" s="199"/>
      <c r="AC194" s="306"/>
      <c r="AD194" s="306"/>
      <c r="AE194" s="306"/>
      <c r="AF194" s="306"/>
      <c r="AG194" s="306"/>
    </row>
    <row r="195" spans="2:33" x14ac:dyDescent="0.35">
      <c r="C195" s="535"/>
      <c r="D195" s="56"/>
      <c r="E195" s="56"/>
      <c r="F195" s="65"/>
      <c r="G195" s="57"/>
      <c r="H195" s="196"/>
      <c r="J195" s="71"/>
      <c r="K195" s="71"/>
      <c r="L195" s="223"/>
      <c r="N195" s="214"/>
      <c r="O195" s="197"/>
      <c r="W195" s="214"/>
      <c r="X195" s="197"/>
      <c r="Z195" s="214"/>
      <c r="AA195" s="197"/>
      <c r="AC195" s="306"/>
      <c r="AD195" s="306"/>
      <c r="AE195" s="306"/>
      <c r="AF195" s="306"/>
      <c r="AG195" s="306"/>
    </row>
    <row r="196" spans="2:33" x14ac:dyDescent="0.35">
      <c r="B196" s="55" t="s">
        <v>990</v>
      </c>
      <c r="C196" s="535" t="s">
        <v>896</v>
      </c>
      <c r="D196" s="55" t="s">
        <v>176</v>
      </c>
      <c r="F196" s="62" t="s">
        <v>76</v>
      </c>
      <c r="H196" s="204">
        <v>294.60000000000002</v>
      </c>
      <c r="J196" s="71">
        <f>(L196-H196)/L196</f>
        <v>0.31488372093023248</v>
      </c>
      <c r="K196" s="221">
        <f t="shared" ref="K196:K198" si="120">ROUNDUP(L196/H196,2)</f>
        <v>1.46</v>
      </c>
      <c r="L196" s="223">
        <v>430</v>
      </c>
      <c r="N196" s="214">
        <v>0.38</v>
      </c>
      <c r="O196" s="193">
        <f>ROUNDUP(H196/-(N196-1),1)</f>
        <v>475.20000000000005</v>
      </c>
      <c r="Q196">
        <f>0.8*326.01</f>
        <v>260.80799999999999</v>
      </c>
      <c r="R196">
        <v>240</v>
      </c>
      <c r="W196" s="214">
        <f>(X196-H196)/X196</f>
        <v>0.47368421052631576</v>
      </c>
      <c r="X196" s="215">
        <f>(H196*$W$2)</f>
        <v>559.74</v>
      </c>
      <c r="Z196" s="214">
        <f t="shared" ref="Z196:Z198" si="121">N196+3/100</f>
        <v>0.41000000000000003</v>
      </c>
      <c r="AA196" s="223">
        <f>ROUNDUP(H196/-(Z196-1),3)</f>
        <v>499.32299999999998</v>
      </c>
      <c r="AC196" s="306"/>
      <c r="AD196" s="306"/>
      <c r="AE196" s="306"/>
      <c r="AF196" s="306"/>
      <c r="AG196" s="306"/>
    </row>
    <row r="197" spans="2:33" x14ac:dyDescent="0.35">
      <c r="B197" s="55" t="s">
        <v>991</v>
      </c>
      <c r="C197" s="535" t="s">
        <v>897</v>
      </c>
      <c r="D197" s="55" t="s">
        <v>177</v>
      </c>
      <c r="F197" s="62" t="s">
        <v>76</v>
      </c>
      <c r="H197" s="204">
        <v>514.20000000000005</v>
      </c>
      <c r="J197" s="71">
        <f>(L197-H197)/L197</f>
        <v>0.40209302325581392</v>
      </c>
      <c r="K197" s="221">
        <f t="shared" si="120"/>
        <v>1.68</v>
      </c>
      <c r="L197" s="223">
        <v>860</v>
      </c>
      <c r="N197" s="214">
        <v>0.38</v>
      </c>
      <c r="O197" s="193">
        <f>ROUNDUP(H197/-(N197-1),1)</f>
        <v>829.4</v>
      </c>
      <c r="R197">
        <v>480</v>
      </c>
      <c r="T197">
        <f>1362.28/2</f>
        <v>681.14</v>
      </c>
      <c r="W197" s="214">
        <f>(X197-H197)/X197</f>
        <v>0.47368421052631576</v>
      </c>
      <c r="X197" s="215">
        <f>(H197*$W$2)</f>
        <v>976.98</v>
      </c>
      <c r="Z197" s="214">
        <f t="shared" si="121"/>
        <v>0.41000000000000003</v>
      </c>
      <c r="AA197" s="223">
        <f>ROUNDUP(H197/-(Z197-1),3)</f>
        <v>871.52599999999995</v>
      </c>
      <c r="AC197" s="306">
        <v>69.188297872340428</v>
      </c>
      <c r="AD197" s="306"/>
      <c r="AE197" s="306"/>
      <c r="AF197" s="306">
        <f>0.8*77.68</f>
        <v>62.144000000000005</v>
      </c>
      <c r="AG197" s="306"/>
    </row>
    <row r="198" spans="2:33" ht="10.5" customHeight="1" x14ac:dyDescent="0.35">
      <c r="B198" s="55" t="s">
        <v>992</v>
      </c>
      <c r="C198" s="535" t="s">
        <v>898</v>
      </c>
      <c r="D198" s="55" t="s">
        <v>178</v>
      </c>
      <c r="F198" s="62" t="s">
        <v>76</v>
      </c>
      <c r="H198" s="204">
        <v>133.43</v>
      </c>
      <c r="J198" s="71">
        <f>(L198-H198)/L198</f>
        <v>0.49838345864661654</v>
      </c>
      <c r="K198" s="221">
        <f t="shared" si="120"/>
        <v>2</v>
      </c>
      <c r="L198" s="223">
        <v>266</v>
      </c>
      <c r="N198" s="214">
        <v>0.56000000000000005</v>
      </c>
      <c r="O198" s="193">
        <f>ROUNDUP(H198/-(N198-1),1)</f>
        <v>303.3</v>
      </c>
      <c r="W198" s="214">
        <f>(X198-H198)/X198</f>
        <v>0.47368421052631576</v>
      </c>
      <c r="X198" s="215">
        <f>(H198*$W$2)</f>
        <v>253.517</v>
      </c>
      <c r="Z198" s="214">
        <f t="shared" si="121"/>
        <v>0.59000000000000008</v>
      </c>
      <c r="AA198" s="223">
        <f>ROUNDUP(H198/-(Z198-1),3)</f>
        <v>325.44</v>
      </c>
      <c r="AC198" s="306"/>
      <c r="AD198" s="306"/>
      <c r="AE198" s="306"/>
      <c r="AF198" s="306"/>
      <c r="AG198" s="306"/>
    </row>
    <row r="199" spans="2:33" ht="20.25" customHeight="1" x14ac:dyDescent="0.35">
      <c r="C199" s="535"/>
      <c r="H199" s="192"/>
      <c r="J199" s="71"/>
      <c r="K199" s="71"/>
      <c r="L199" s="223"/>
      <c r="N199" s="214"/>
      <c r="O199" s="193"/>
      <c r="W199" s="214"/>
      <c r="X199" s="193"/>
      <c r="Z199" s="214"/>
      <c r="AA199" s="193"/>
      <c r="AC199" s="306"/>
      <c r="AD199" s="306"/>
      <c r="AE199" s="306"/>
      <c r="AF199" s="306"/>
      <c r="AG199" s="306"/>
    </row>
    <row r="200" spans="2:33" ht="13.5" customHeight="1" x14ac:dyDescent="0.35">
      <c r="B200" s="77"/>
      <c r="C200" s="542"/>
      <c r="D200" s="73" t="s">
        <v>179</v>
      </c>
      <c r="E200" s="73"/>
      <c r="F200" s="74"/>
      <c r="G200" s="75"/>
      <c r="H200" s="202"/>
      <c r="J200" s="81"/>
      <c r="K200" s="81"/>
      <c r="L200" s="419"/>
      <c r="N200" s="198"/>
      <c r="O200" s="199"/>
      <c r="W200" s="218"/>
      <c r="X200" s="199"/>
      <c r="Z200" s="198"/>
      <c r="AA200" s="199"/>
      <c r="AC200" s="306"/>
      <c r="AD200" s="306"/>
      <c r="AE200" s="306"/>
      <c r="AF200" s="306"/>
      <c r="AG200" s="306"/>
    </row>
    <row r="201" spans="2:33" ht="15" customHeight="1" x14ac:dyDescent="0.35">
      <c r="C201" s="535"/>
      <c r="D201" s="56"/>
      <c r="E201" s="56"/>
      <c r="F201" s="65"/>
      <c r="G201" s="57"/>
      <c r="H201" s="196"/>
      <c r="J201" s="71"/>
      <c r="K201" s="71"/>
      <c r="L201" s="223"/>
      <c r="N201" s="214"/>
      <c r="O201" s="197"/>
      <c r="W201" s="214"/>
      <c r="X201" s="197"/>
      <c r="Z201" s="214"/>
      <c r="AA201" s="197"/>
      <c r="AC201" s="306"/>
      <c r="AD201" s="306"/>
      <c r="AE201" s="306"/>
      <c r="AF201" s="306"/>
      <c r="AG201" s="306"/>
    </row>
    <row r="202" spans="2:33" ht="12" customHeight="1" x14ac:dyDescent="0.35">
      <c r="B202" s="55" t="s">
        <v>993</v>
      </c>
      <c r="C202" s="535" t="s">
        <v>901</v>
      </c>
      <c r="D202" s="55" t="s">
        <v>180</v>
      </c>
      <c r="F202" s="62" t="s">
        <v>76</v>
      </c>
      <c r="H202" s="192">
        <v>1600</v>
      </c>
      <c r="J202" s="71">
        <f>(L202-H202)/L202</f>
        <v>0.5</v>
      </c>
      <c r="K202" s="221">
        <f t="shared" ref="K202" si="122">ROUNDUP(L202/H202,2)</f>
        <v>2</v>
      </c>
      <c r="L202" s="223">
        <v>3200</v>
      </c>
      <c r="N202" s="214">
        <v>0.4</v>
      </c>
      <c r="O202" s="193">
        <f>ROUNDUP(H202/-(N202-1),1)</f>
        <v>2666.7</v>
      </c>
      <c r="T202">
        <v>2780</v>
      </c>
      <c r="W202" s="214">
        <f>(X202-H202)/X202</f>
        <v>0.47368421052631576</v>
      </c>
      <c r="X202" s="215">
        <f>(H202*$W$2)</f>
        <v>3040</v>
      </c>
      <c r="Z202" s="214">
        <f>N202+3/100</f>
        <v>0.43000000000000005</v>
      </c>
      <c r="AA202" s="223">
        <f>ROUNDUP(H202/-(Z202-1),3)</f>
        <v>2807.018</v>
      </c>
      <c r="AC202" s="306"/>
      <c r="AD202" s="306"/>
      <c r="AE202" s="306"/>
      <c r="AF202" s="306"/>
      <c r="AG202" s="306"/>
    </row>
    <row r="203" spans="2:33" ht="17.25" customHeight="1" x14ac:dyDescent="0.35">
      <c r="B203" s="55" t="s">
        <v>994</v>
      </c>
      <c r="C203" s="535" t="s">
        <v>902</v>
      </c>
      <c r="D203" s="55" t="s">
        <v>181</v>
      </c>
      <c r="H203" s="192"/>
      <c r="J203" s="71"/>
      <c r="K203" s="71"/>
      <c r="L203" s="223"/>
      <c r="N203" s="214"/>
      <c r="O203" s="193"/>
      <c r="W203" s="214"/>
      <c r="X203" s="215"/>
      <c r="Z203" s="214"/>
      <c r="AA203" s="193"/>
      <c r="AC203" s="306"/>
      <c r="AD203" s="306"/>
      <c r="AE203" s="306"/>
      <c r="AF203" s="306"/>
      <c r="AG203" s="306"/>
    </row>
    <row r="204" spans="2:33" x14ac:dyDescent="0.35">
      <c r="C204" s="535"/>
      <c r="H204" s="192"/>
      <c r="J204" s="71"/>
      <c r="K204" s="71"/>
      <c r="L204" s="223"/>
      <c r="N204" s="214"/>
      <c r="O204" s="193"/>
      <c r="W204" s="214"/>
      <c r="X204" s="193"/>
      <c r="Z204" s="214"/>
      <c r="AA204" s="193"/>
      <c r="AC204" s="306"/>
      <c r="AD204" s="306"/>
      <c r="AE204" s="306"/>
      <c r="AF204" s="306"/>
      <c r="AG204" s="306"/>
    </row>
    <row r="205" spans="2:33" x14ac:dyDescent="0.35">
      <c r="B205" s="55" t="s">
        <v>995</v>
      </c>
      <c r="C205" s="535" t="s">
        <v>899</v>
      </c>
      <c r="D205" s="55" t="s">
        <v>182</v>
      </c>
      <c r="F205" s="62" t="s">
        <v>76</v>
      </c>
      <c r="H205" s="192">
        <v>2136</v>
      </c>
      <c r="J205" s="71">
        <f>(L205-H205)/L205</f>
        <v>0.5032558139534884</v>
      </c>
      <c r="K205" s="221">
        <f t="shared" ref="K205:K206" si="123">ROUNDUP(L205/H205,2)</f>
        <v>2.0199999999999996</v>
      </c>
      <c r="L205" s="223">
        <v>4300</v>
      </c>
      <c r="N205" s="214">
        <v>0.4</v>
      </c>
      <c r="O205" s="193">
        <f>ROUNDUP(H205/-(N205-1),1)</f>
        <v>3560</v>
      </c>
      <c r="W205" s="214">
        <f>(X205-H205)/X205</f>
        <v>0.47368421052631576</v>
      </c>
      <c r="X205" s="215">
        <f>(H205*$W$2)</f>
        <v>4058.3999999999996</v>
      </c>
      <c r="Z205" s="214">
        <f t="shared" ref="Z205:Z206" si="124">N205+3/100</f>
        <v>0.43000000000000005</v>
      </c>
      <c r="AA205" s="223">
        <f>ROUNDUP(H205/-(Z205-1),3)</f>
        <v>3747.3690000000001</v>
      </c>
      <c r="AC205" s="306"/>
      <c r="AD205" s="306"/>
      <c r="AE205" s="306"/>
      <c r="AF205" s="306"/>
      <c r="AG205" s="306"/>
    </row>
    <row r="206" spans="2:33" x14ac:dyDescent="0.35">
      <c r="B206" s="55" t="s">
        <v>996</v>
      </c>
      <c r="C206" s="535" t="s">
        <v>900</v>
      </c>
      <c r="D206" s="55" t="s">
        <v>183</v>
      </c>
      <c r="F206" s="62" t="s">
        <v>76</v>
      </c>
      <c r="H206" s="192">
        <v>2250</v>
      </c>
      <c r="J206" s="71">
        <f>(L206-H206)/L206</f>
        <v>0.5</v>
      </c>
      <c r="K206" s="221">
        <f t="shared" si="123"/>
        <v>2</v>
      </c>
      <c r="L206" s="223">
        <v>4500</v>
      </c>
      <c r="N206" s="214">
        <v>0.4</v>
      </c>
      <c r="O206" s="193">
        <f>ROUNDUP(H206/-(N206-1),1)</f>
        <v>3750</v>
      </c>
      <c r="W206" s="214">
        <f>(X206-H206)/X206</f>
        <v>0.47368421052631576</v>
      </c>
      <c r="X206" s="215">
        <f>(H206*$W$2)</f>
        <v>4275</v>
      </c>
      <c r="Z206" s="214">
        <f t="shared" si="124"/>
        <v>0.43000000000000005</v>
      </c>
      <c r="AA206" s="223">
        <f>ROUNDUP(H206/-(Z206-1),3)</f>
        <v>3947.3690000000001</v>
      </c>
    </row>
    <row r="207" spans="2:33" x14ac:dyDescent="0.35">
      <c r="C207" s="535"/>
      <c r="H207" s="192"/>
      <c r="J207" s="71"/>
      <c r="K207" s="71"/>
      <c r="L207" s="223"/>
      <c r="N207" s="214"/>
      <c r="O207" s="193"/>
      <c r="W207" s="214"/>
      <c r="X207" s="193"/>
      <c r="Z207" s="214"/>
      <c r="AA207" s="193"/>
    </row>
    <row r="208" spans="2:33" x14ac:dyDescent="0.35">
      <c r="B208" s="55" t="s">
        <v>997</v>
      </c>
      <c r="C208" s="535" t="s">
        <v>903</v>
      </c>
      <c r="D208" s="55" t="s">
        <v>184</v>
      </c>
      <c r="F208" s="62" t="s">
        <v>76</v>
      </c>
      <c r="H208" s="192">
        <v>3400</v>
      </c>
      <c r="J208" s="71">
        <f>(L208-H208)/L208</f>
        <v>0.5</v>
      </c>
      <c r="K208" s="221">
        <f t="shared" ref="K208" si="125">ROUNDUP(L208/H208,2)</f>
        <v>2</v>
      </c>
      <c r="L208" s="223">
        <v>6800</v>
      </c>
      <c r="N208" s="214"/>
      <c r="O208" s="193"/>
      <c r="W208" s="214"/>
      <c r="X208" s="193"/>
      <c r="Z208" s="214"/>
      <c r="AA208" s="193"/>
    </row>
    <row r="209" spans="2:27" x14ac:dyDescent="0.35">
      <c r="B209" s="55" t="s">
        <v>998</v>
      </c>
      <c r="C209" s="535" t="s">
        <v>904</v>
      </c>
      <c r="D209" s="55" t="s">
        <v>185</v>
      </c>
      <c r="F209" s="62" t="s">
        <v>76</v>
      </c>
      <c r="H209" s="192">
        <v>8450</v>
      </c>
      <c r="J209" s="71">
        <f>(L209-H209)/L209</f>
        <v>0.5</v>
      </c>
      <c r="K209" s="221">
        <f t="shared" ref="K209" si="126">ROUNDUP(L209/H209,2)</f>
        <v>2</v>
      </c>
      <c r="L209" s="223">
        <v>16900</v>
      </c>
      <c r="N209" s="214"/>
      <c r="O209" s="193"/>
      <c r="W209" s="214"/>
      <c r="X209" s="193"/>
      <c r="Z209" s="214"/>
      <c r="AA209" s="193"/>
    </row>
    <row r="210" spans="2:27" x14ac:dyDescent="0.35">
      <c r="C210" s="535"/>
      <c r="H210" s="192"/>
      <c r="J210" s="71"/>
      <c r="K210" s="71"/>
      <c r="L210" s="223"/>
      <c r="N210" s="214"/>
      <c r="O210" s="193"/>
      <c r="W210" s="214"/>
      <c r="X210" s="193"/>
      <c r="Z210" s="214"/>
      <c r="AA210" s="193"/>
    </row>
    <row r="211" spans="2:27" x14ac:dyDescent="0.35">
      <c r="C211" s="535" t="s">
        <v>905</v>
      </c>
      <c r="D211" s="55" t="s">
        <v>186</v>
      </c>
      <c r="F211" s="62" t="s">
        <v>76</v>
      </c>
      <c r="H211" s="192"/>
      <c r="J211" s="71"/>
      <c r="K211" s="71"/>
      <c r="L211" s="223">
        <v>0</v>
      </c>
      <c r="N211" s="214"/>
      <c r="O211" s="193"/>
      <c r="W211" s="214"/>
      <c r="X211" s="193"/>
      <c r="Z211" s="214"/>
      <c r="AA211" s="193"/>
    </row>
    <row r="212" spans="2:27" x14ac:dyDescent="0.35">
      <c r="C212" s="535" t="s">
        <v>906</v>
      </c>
      <c r="D212" s="55" t="s">
        <v>187</v>
      </c>
      <c r="F212" s="62" t="s">
        <v>76</v>
      </c>
      <c r="H212" s="192"/>
      <c r="J212" s="71"/>
      <c r="K212" s="71"/>
      <c r="L212" s="223">
        <v>0</v>
      </c>
      <c r="N212" s="214"/>
      <c r="O212" s="193"/>
      <c r="W212" s="214"/>
      <c r="X212" s="193"/>
      <c r="Z212" s="214"/>
      <c r="AA212" s="193"/>
    </row>
    <row r="213" spans="2:27" x14ac:dyDescent="0.35">
      <c r="C213" s="535" t="s">
        <v>907</v>
      </c>
      <c r="D213" s="55" t="s">
        <v>188</v>
      </c>
      <c r="F213" s="62" t="s">
        <v>76</v>
      </c>
      <c r="H213" s="192">
        <v>78.55</v>
      </c>
      <c r="J213" s="71">
        <f>(L213-H213)/L213</f>
        <v>0.5028481012658228</v>
      </c>
      <c r="K213" s="221">
        <f t="shared" ref="K213" si="127">ROUNDUP(L213/H213,2)</f>
        <v>2.0199999999999996</v>
      </c>
      <c r="L213" s="223">
        <v>158</v>
      </c>
      <c r="N213" s="214">
        <v>0.4</v>
      </c>
      <c r="O213" s="193">
        <f>ROUNDUP(H213/-(N213-1),1)</f>
        <v>131</v>
      </c>
      <c r="W213" s="214">
        <f>(X213-H213)/X213</f>
        <v>0.47368421052631571</v>
      </c>
      <c r="X213" s="215">
        <f>(H213*$W$2)</f>
        <v>149.24499999999998</v>
      </c>
      <c r="Z213" s="214">
        <f>N213+3/100</f>
        <v>0.43000000000000005</v>
      </c>
      <c r="AA213" s="223">
        <f>ROUNDUP(H213/-(Z213-1),3)</f>
        <v>137.80799999999999</v>
      </c>
    </row>
    <row r="214" spans="2:27" x14ac:dyDescent="0.35">
      <c r="C214" s="535"/>
      <c r="H214" s="192"/>
      <c r="J214" s="71"/>
      <c r="K214" s="71"/>
      <c r="L214" s="223"/>
      <c r="N214" s="214"/>
      <c r="O214" s="193"/>
      <c r="W214" s="214"/>
      <c r="X214" s="193"/>
      <c r="Z214" s="214"/>
      <c r="AA214" s="193"/>
    </row>
    <row r="215" spans="2:27" x14ac:dyDescent="0.35">
      <c r="B215" s="77"/>
      <c r="C215" s="542"/>
      <c r="D215" s="73" t="s">
        <v>189</v>
      </c>
      <c r="E215" s="73"/>
      <c r="F215" s="74"/>
      <c r="G215" s="75"/>
      <c r="H215" s="202"/>
      <c r="J215" s="81"/>
      <c r="K215" s="81"/>
      <c r="L215" s="419"/>
      <c r="N215" s="198"/>
      <c r="O215" s="199"/>
      <c r="W215" s="218"/>
      <c r="X215" s="199"/>
      <c r="Z215" s="198"/>
      <c r="AA215" s="199"/>
    </row>
    <row r="216" spans="2:27" x14ac:dyDescent="0.35">
      <c r="C216" s="535"/>
      <c r="D216" s="56"/>
      <c r="E216" s="56"/>
      <c r="F216" s="65"/>
      <c r="G216" s="57"/>
      <c r="H216" s="196"/>
      <c r="J216" s="71"/>
      <c r="K216" s="71"/>
      <c r="L216" s="223"/>
      <c r="N216" s="214"/>
      <c r="O216" s="197"/>
      <c r="W216" s="214"/>
      <c r="X216" s="197"/>
      <c r="Z216" s="214"/>
      <c r="AA216" s="197"/>
    </row>
    <row r="217" spans="2:27" x14ac:dyDescent="0.35">
      <c r="B217" s="55" t="s">
        <v>999</v>
      </c>
      <c r="C217" s="535" t="s">
        <v>908</v>
      </c>
      <c r="D217" s="55" t="s">
        <v>190</v>
      </c>
      <c r="F217" s="62" t="s">
        <v>76</v>
      </c>
      <c r="H217" s="192">
        <f>176</f>
        <v>176</v>
      </c>
      <c r="J217" s="71">
        <f t="shared" ref="J217:J225" si="128">(L217-H217)/L217</f>
        <v>0.5</v>
      </c>
      <c r="K217" s="221">
        <f t="shared" ref="K217:K225" si="129">ROUNDUP(L217/H217,2)</f>
        <v>2</v>
      </c>
      <c r="L217" s="223">
        <v>352</v>
      </c>
      <c r="N217" s="214">
        <v>0.4</v>
      </c>
      <c r="O217" s="193">
        <f t="shared" ref="O217:O225" si="130">ROUNDUP(H217/-(N217-1),1)</f>
        <v>293.40000000000003</v>
      </c>
      <c r="S217">
        <v>189.34</v>
      </c>
      <c r="W217" s="214">
        <f t="shared" ref="W217:W225" si="131">(X217-H217)/X217</f>
        <v>0.47368421052631576</v>
      </c>
      <c r="X217" s="215">
        <f t="shared" ref="X217:X225" si="132">(H217*$W$2)</f>
        <v>334.4</v>
      </c>
      <c r="Z217" s="214">
        <f t="shared" ref="Z217:Z225" si="133">N217+3/100</f>
        <v>0.43000000000000005</v>
      </c>
      <c r="AA217" s="223">
        <f t="shared" ref="AA217:AA225" si="134">ROUNDUP(H217/-(Z217-1),3)</f>
        <v>308.77199999999999</v>
      </c>
    </row>
    <row r="218" spans="2:27" x14ac:dyDescent="0.35">
      <c r="B218" s="55" t="s">
        <v>1000</v>
      </c>
      <c r="C218" s="535" t="s">
        <v>909</v>
      </c>
      <c r="D218" s="55" t="s">
        <v>191</v>
      </c>
      <c r="F218" s="62" t="s">
        <v>76</v>
      </c>
      <c r="H218" s="192">
        <v>141</v>
      </c>
      <c r="J218" s="71">
        <f t="shared" si="128"/>
        <v>0.5</v>
      </c>
      <c r="K218" s="221">
        <f t="shared" si="129"/>
        <v>2</v>
      </c>
      <c r="L218" s="223">
        <v>282</v>
      </c>
      <c r="N218" s="214">
        <v>0.4</v>
      </c>
      <c r="O218" s="193">
        <f t="shared" si="130"/>
        <v>235</v>
      </c>
      <c r="W218" s="214">
        <f t="shared" si="131"/>
        <v>0.47368421052631576</v>
      </c>
      <c r="X218" s="215">
        <f t="shared" si="132"/>
        <v>267.89999999999998</v>
      </c>
      <c r="Z218" s="214">
        <f t="shared" si="133"/>
        <v>0.43000000000000005</v>
      </c>
      <c r="AA218" s="223">
        <f t="shared" si="134"/>
        <v>247.369</v>
      </c>
    </row>
    <row r="219" spans="2:27" x14ac:dyDescent="0.35">
      <c r="C219" s="535" t="s">
        <v>910</v>
      </c>
      <c r="D219" s="55" t="s">
        <v>192</v>
      </c>
      <c r="F219" s="62" t="s">
        <v>76</v>
      </c>
      <c r="H219" s="192">
        <v>97.5</v>
      </c>
      <c r="J219" s="71">
        <f t="shared" si="128"/>
        <v>0.50381679389312972</v>
      </c>
      <c r="K219" s="221"/>
      <c r="L219" s="223">
        <v>196.5</v>
      </c>
      <c r="N219" s="214">
        <v>0.4</v>
      </c>
      <c r="O219" s="193">
        <f t="shared" si="130"/>
        <v>162.5</v>
      </c>
      <c r="W219" s="214"/>
      <c r="X219" s="215"/>
      <c r="Z219" s="214">
        <f t="shared" si="133"/>
        <v>0.43000000000000005</v>
      </c>
      <c r="AA219" s="223">
        <f t="shared" si="134"/>
        <v>171.053</v>
      </c>
    </row>
    <row r="220" spans="2:27" x14ac:dyDescent="0.35">
      <c r="C220" s="535" t="s">
        <v>911</v>
      </c>
      <c r="D220" s="55" t="s">
        <v>193</v>
      </c>
      <c r="F220" s="62" t="s">
        <v>76</v>
      </c>
      <c r="H220" s="192">
        <v>63.3</v>
      </c>
      <c r="J220" s="71">
        <f t="shared" si="128"/>
        <v>0.49601910828025475</v>
      </c>
      <c r="K220" s="221"/>
      <c r="L220" s="223">
        <v>125.6</v>
      </c>
      <c r="N220" s="214">
        <v>0.4</v>
      </c>
      <c r="O220" s="193">
        <f t="shared" si="130"/>
        <v>105.5</v>
      </c>
      <c r="W220" s="214"/>
      <c r="X220" s="215"/>
      <c r="Z220" s="214">
        <f t="shared" si="133"/>
        <v>0.43000000000000005</v>
      </c>
      <c r="AA220" s="223">
        <f t="shared" si="134"/>
        <v>111.05300000000001</v>
      </c>
    </row>
    <row r="221" spans="2:27" x14ac:dyDescent="0.35">
      <c r="B221" s="55" t="s">
        <v>1001</v>
      </c>
      <c r="C221" s="535" t="s">
        <v>912</v>
      </c>
      <c r="D221" s="55" t="s">
        <v>194</v>
      </c>
      <c r="F221" s="62" t="s">
        <v>76</v>
      </c>
      <c r="H221" s="192">
        <v>46.5</v>
      </c>
      <c r="J221" s="71">
        <f t="shared" si="128"/>
        <v>0.49729729729729732</v>
      </c>
      <c r="K221" s="221">
        <f t="shared" si="129"/>
        <v>1.99</v>
      </c>
      <c r="L221" s="223">
        <v>92.5</v>
      </c>
      <c r="N221" s="214">
        <v>0.4</v>
      </c>
      <c r="O221" s="193">
        <f t="shared" si="130"/>
        <v>77.5</v>
      </c>
      <c r="W221" s="214">
        <f t="shared" si="131"/>
        <v>0.47368421052631576</v>
      </c>
      <c r="X221" s="215">
        <f t="shared" si="132"/>
        <v>88.35</v>
      </c>
      <c r="Z221" s="214">
        <f t="shared" si="133"/>
        <v>0.43000000000000005</v>
      </c>
      <c r="AA221" s="223">
        <f t="shared" si="134"/>
        <v>81.579000000000008</v>
      </c>
    </row>
    <row r="222" spans="2:27" x14ac:dyDescent="0.35">
      <c r="B222" s="55" t="s">
        <v>1002</v>
      </c>
      <c r="C222" s="535" t="s">
        <v>913</v>
      </c>
      <c r="D222" s="55" t="s">
        <v>195</v>
      </c>
      <c r="F222" s="62" t="s">
        <v>76</v>
      </c>
      <c r="H222" s="192">
        <f>19+6.5</f>
        <v>25.5</v>
      </c>
      <c r="J222" s="71">
        <f t="shared" si="128"/>
        <v>0.5</v>
      </c>
      <c r="K222" s="221">
        <f t="shared" si="129"/>
        <v>2</v>
      </c>
      <c r="L222" s="223">
        <v>51</v>
      </c>
      <c r="N222" s="214">
        <v>0.4</v>
      </c>
      <c r="O222" s="193">
        <f t="shared" si="130"/>
        <v>42.5</v>
      </c>
      <c r="W222" s="214">
        <f t="shared" si="131"/>
        <v>0.47368421052631576</v>
      </c>
      <c r="X222" s="215">
        <f t="shared" si="132"/>
        <v>48.449999999999996</v>
      </c>
      <c r="Z222" s="214">
        <f t="shared" si="133"/>
        <v>0.43000000000000005</v>
      </c>
      <c r="AA222" s="223">
        <f t="shared" si="134"/>
        <v>44.736999999999995</v>
      </c>
    </row>
    <row r="223" spans="2:27" x14ac:dyDescent="0.35">
      <c r="B223" s="55" t="s">
        <v>1003</v>
      </c>
      <c r="C223" s="535" t="s">
        <v>914</v>
      </c>
      <c r="D223" s="55" t="s">
        <v>196</v>
      </c>
      <c r="F223" s="62" t="s">
        <v>76</v>
      </c>
      <c r="H223" s="192">
        <f>452+41.5+18+0.5</f>
        <v>512</v>
      </c>
      <c r="J223" s="71">
        <f t="shared" si="128"/>
        <v>0.5</v>
      </c>
      <c r="K223" s="221">
        <f t="shared" si="129"/>
        <v>2</v>
      </c>
      <c r="L223" s="223">
        <v>1024</v>
      </c>
      <c r="N223" s="214">
        <v>0.4</v>
      </c>
      <c r="O223" s="193">
        <f t="shared" si="130"/>
        <v>853.4</v>
      </c>
      <c r="W223" s="214">
        <f t="shared" si="131"/>
        <v>0.47368421052631576</v>
      </c>
      <c r="X223" s="215">
        <f t="shared" si="132"/>
        <v>972.8</v>
      </c>
      <c r="Z223" s="214">
        <f t="shared" si="133"/>
        <v>0.43000000000000005</v>
      </c>
      <c r="AA223" s="223">
        <f t="shared" si="134"/>
        <v>898.24599999999998</v>
      </c>
    </row>
    <row r="224" spans="2:27" x14ac:dyDescent="0.35">
      <c r="C224" s="535" t="s">
        <v>915</v>
      </c>
      <c r="D224" s="55" t="s">
        <v>197</v>
      </c>
      <c r="F224" s="62" t="s">
        <v>76</v>
      </c>
      <c r="H224" s="192">
        <f>715+41.5+18+0.5</f>
        <v>775</v>
      </c>
      <c r="J224" s="71">
        <f t="shared" si="128"/>
        <v>0.50320512820512819</v>
      </c>
      <c r="K224" s="221">
        <f t="shared" si="129"/>
        <v>2.0199999999999996</v>
      </c>
      <c r="L224" s="223">
        <v>1560</v>
      </c>
      <c r="N224" s="214">
        <v>0.4</v>
      </c>
      <c r="O224" s="193">
        <f t="shared" si="130"/>
        <v>1291.6999999999998</v>
      </c>
      <c r="W224" s="214">
        <f t="shared" si="131"/>
        <v>0.47368421052631576</v>
      </c>
      <c r="X224" s="215">
        <f t="shared" si="132"/>
        <v>1472.5</v>
      </c>
      <c r="Z224" s="214">
        <f t="shared" si="133"/>
        <v>0.43000000000000005</v>
      </c>
      <c r="AA224" s="223">
        <f t="shared" si="134"/>
        <v>1359.6499999999999</v>
      </c>
    </row>
    <row r="225" spans="2:27" x14ac:dyDescent="0.35">
      <c r="B225" s="55" t="s">
        <v>1004</v>
      </c>
      <c r="C225" s="535" t="s">
        <v>916</v>
      </c>
      <c r="D225" s="55" t="s">
        <v>198</v>
      </c>
      <c r="F225" s="62" t="s">
        <v>76</v>
      </c>
      <c r="H225" s="192">
        <v>200</v>
      </c>
      <c r="J225" s="71">
        <f t="shared" si="128"/>
        <v>0.5</v>
      </c>
      <c r="K225" s="221">
        <f t="shared" si="129"/>
        <v>2</v>
      </c>
      <c r="L225" s="223">
        <v>400</v>
      </c>
      <c r="N225" s="214">
        <v>0.4</v>
      </c>
      <c r="O225" s="193">
        <f t="shared" si="130"/>
        <v>333.40000000000003</v>
      </c>
      <c r="W225" s="214">
        <f t="shared" si="131"/>
        <v>0.47368421052631576</v>
      </c>
      <c r="X225" s="215">
        <f t="shared" si="132"/>
        <v>380</v>
      </c>
      <c r="Z225" s="214">
        <f t="shared" si="133"/>
        <v>0.43000000000000005</v>
      </c>
      <c r="AA225" s="223">
        <f t="shared" si="134"/>
        <v>350.87799999999999</v>
      </c>
    </row>
    <row r="226" spans="2:27" x14ac:dyDescent="0.35">
      <c r="C226" s="535"/>
      <c r="H226" s="192"/>
      <c r="J226" s="71"/>
      <c r="K226" s="71"/>
      <c r="L226" s="223"/>
      <c r="N226" s="214"/>
      <c r="O226" s="193"/>
      <c r="W226" s="214"/>
      <c r="X226" s="193"/>
      <c r="Z226" s="214"/>
      <c r="AA226" s="193"/>
    </row>
    <row r="227" spans="2:27" x14ac:dyDescent="0.35">
      <c r="B227" s="77"/>
      <c r="C227" s="542"/>
      <c r="D227" s="73" t="s">
        <v>199</v>
      </c>
      <c r="E227" s="73"/>
      <c r="F227" s="74"/>
      <c r="G227" s="75"/>
      <c r="H227" s="202"/>
      <c r="J227" s="81"/>
      <c r="K227" s="81"/>
      <c r="L227" s="419"/>
      <c r="N227" s="198"/>
      <c r="O227" s="199"/>
      <c r="W227" s="218"/>
      <c r="X227" s="199"/>
      <c r="Z227" s="198"/>
      <c r="AA227" s="199"/>
    </row>
    <row r="228" spans="2:27" x14ac:dyDescent="0.35">
      <c r="C228" s="535"/>
      <c r="D228" s="56"/>
      <c r="E228" s="56"/>
      <c r="F228" s="65"/>
      <c r="G228" s="57"/>
      <c r="H228" s="196"/>
      <c r="J228" s="71"/>
      <c r="K228" s="71"/>
      <c r="L228" s="223"/>
      <c r="N228" s="214"/>
      <c r="O228" s="197"/>
      <c r="W228" s="214"/>
      <c r="X228" s="197"/>
      <c r="Z228" s="214"/>
      <c r="AA228" s="197"/>
    </row>
    <row r="229" spans="2:27" x14ac:dyDescent="0.35">
      <c r="B229" s="55" t="s">
        <v>1005</v>
      </c>
      <c r="C229" s="535" t="s">
        <v>917</v>
      </c>
      <c r="D229" s="55" t="s">
        <v>200</v>
      </c>
      <c r="F229" s="62" t="s">
        <v>60</v>
      </c>
      <c r="H229" s="192">
        <v>132.02000000000001</v>
      </c>
      <c r="J229" s="71">
        <f>(L229-H229)/L229</f>
        <v>0.5</v>
      </c>
      <c r="K229" s="221">
        <f t="shared" ref="K229:K230" si="135">ROUNDUP(L229/H229,2)</f>
        <v>2</v>
      </c>
      <c r="L229" s="223">
        <v>264.04000000000002</v>
      </c>
      <c r="N229" s="214">
        <v>0.42</v>
      </c>
      <c r="O229" s="193">
        <f>ROUNDUP(H229/-(N229-1),1)</f>
        <v>227.7</v>
      </c>
      <c r="W229" s="214">
        <f>(X229-H229)/X229</f>
        <v>0.47368421052631576</v>
      </c>
      <c r="X229" s="215">
        <f>(H229*$W$2)</f>
        <v>250.83799999999999</v>
      </c>
      <c r="Z229" s="214">
        <f t="shared" ref="Z229:Z230" si="136">N229+3/100</f>
        <v>0.44999999999999996</v>
      </c>
      <c r="AA229" s="223">
        <f>ROUNDUP(H229/-(Z229-1),3)</f>
        <v>240.03700000000001</v>
      </c>
    </row>
    <row r="230" spans="2:27" x14ac:dyDescent="0.35">
      <c r="B230" s="55" t="s">
        <v>1006</v>
      </c>
      <c r="C230" s="535" t="s">
        <v>918</v>
      </c>
      <c r="D230" s="55" t="s">
        <v>201</v>
      </c>
      <c r="F230" s="62" t="s">
        <v>60</v>
      </c>
      <c r="H230" s="192">
        <v>25</v>
      </c>
      <c r="J230" s="71">
        <f>(L230-H230)/L230</f>
        <v>0.5</v>
      </c>
      <c r="K230" s="221">
        <f t="shared" si="135"/>
        <v>2</v>
      </c>
      <c r="L230" s="223">
        <v>50</v>
      </c>
      <c r="N230" s="214">
        <v>0.42</v>
      </c>
      <c r="O230" s="193">
        <f>ROUNDUP(H230/-(N230-1),1)</f>
        <v>43.2</v>
      </c>
      <c r="R230">
        <v>50.3</v>
      </c>
      <c r="W230" s="214">
        <f>(X230-H230)/X230</f>
        <v>0.47368421052631576</v>
      </c>
      <c r="X230" s="215">
        <f>(H230*$W$2)</f>
        <v>47.5</v>
      </c>
      <c r="Z230" s="214">
        <f t="shared" si="136"/>
        <v>0.44999999999999996</v>
      </c>
      <c r="AA230" s="223">
        <f>ROUNDUP(H230/-(Z230-1),3)</f>
        <v>45.454999999999998</v>
      </c>
    </row>
    <row r="231" spans="2:27" x14ac:dyDescent="0.35">
      <c r="C231" s="535" t="s">
        <v>919</v>
      </c>
      <c r="D231" s="55" t="s">
        <v>202</v>
      </c>
      <c r="H231" s="192"/>
      <c r="J231" s="71"/>
      <c r="K231" s="71"/>
      <c r="L231" s="223"/>
      <c r="N231" s="214"/>
      <c r="O231" s="193"/>
      <c r="W231" s="214"/>
      <c r="X231" s="215"/>
      <c r="Z231" s="214"/>
      <c r="AA231" s="193"/>
    </row>
    <row r="232" spans="2:27" x14ac:dyDescent="0.35">
      <c r="C232" s="535" t="s">
        <v>920</v>
      </c>
      <c r="D232" s="55" t="s">
        <v>203</v>
      </c>
      <c r="H232" s="192"/>
      <c r="J232" s="71"/>
      <c r="K232" s="71"/>
      <c r="L232" s="223"/>
      <c r="N232" s="214"/>
      <c r="O232" s="193"/>
      <c r="W232" s="214"/>
      <c r="X232" s="215"/>
      <c r="Z232" s="214"/>
      <c r="AA232" s="193"/>
    </row>
    <row r="233" spans="2:27" x14ac:dyDescent="0.35">
      <c r="C233" s="535" t="s">
        <v>921</v>
      </c>
      <c r="D233" s="55" t="s">
        <v>204</v>
      </c>
      <c r="H233" s="192"/>
      <c r="J233" s="71"/>
      <c r="K233" s="71"/>
      <c r="L233" s="223"/>
      <c r="N233" s="214"/>
      <c r="O233" s="193"/>
      <c r="W233" s="214"/>
      <c r="X233" s="215"/>
      <c r="Z233" s="214"/>
      <c r="AA233" s="193"/>
    </row>
    <row r="234" spans="2:27" x14ac:dyDescent="0.35">
      <c r="C234" s="535"/>
      <c r="D234" s="55" t="s">
        <v>1017</v>
      </c>
      <c r="F234" s="62" t="s">
        <v>76</v>
      </c>
      <c r="H234" s="192">
        <v>324</v>
      </c>
      <c r="J234" s="71">
        <f>(L234-H234)/L234</f>
        <v>0.5</v>
      </c>
      <c r="K234" s="71"/>
      <c r="L234" s="223">
        <v>648</v>
      </c>
      <c r="N234" s="214">
        <v>0.4</v>
      </c>
      <c r="O234" s="193">
        <f>ROUNDUP(H234/-(N234-1),1)</f>
        <v>540</v>
      </c>
      <c r="W234" s="214"/>
      <c r="X234" s="215"/>
      <c r="Z234" s="214">
        <f t="shared" ref="Z234" si="137">N234+3/100</f>
        <v>0.43000000000000005</v>
      </c>
      <c r="AA234" s="223">
        <f>ROUNDUP(H234/-(Z234-1),3)</f>
        <v>568.42200000000003</v>
      </c>
    </row>
    <row r="235" spans="2:27" x14ac:dyDescent="0.35">
      <c r="B235" s="55" t="s">
        <v>1007</v>
      </c>
      <c r="C235" s="535" t="s">
        <v>922</v>
      </c>
      <c r="D235" s="55" t="s">
        <v>205</v>
      </c>
      <c r="F235" s="62" t="s">
        <v>76</v>
      </c>
      <c r="H235" s="192">
        <v>59.15</v>
      </c>
      <c r="J235" s="71">
        <f>(L235-H235)/L235</f>
        <v>0.5</v>
      </c>
      <c r="K235" s="221">
        <f t="shared" ref="K235" si="138">ROUNDUP(L235/H235,2)</f>
        <v>2</v>
      </c>
      <c r="L235" s="223">
        <v>118.3</v>
      </c>
      <c r="N235" s="214">
        <v>0.4</v>
      </c>
      <c r="O235" s="193">
        <f>ROUNDUP(H235/-(N235-1),1)</f>
        <v>98.6</v>
      </c>
      <c r="W235" s="214">
        <f>(X235-H235)/X235</f>
        <v>0.47368421052631576</v>
      </c>
      <c r="X235" s="215">
        <f>(H235*$W$2)</f>
        <v>112.38499999999999</v>
      </c>
      <c r="Z235" s="214">
        <f t="shared" ref="Z235" si="139">N235+3/100</f>
        <v>0.43000000000000005</v>
      </c>
      <c r="AA235" s="223">
        <f>ROUNDUP(H235/-(Z235-1),3)</f>
        <v>103.77200000000001</v>
      </c>
    </row>
    <row r="236" spans="2:27" x14ac:dyDescent="0.35">
      <c r="C236" s="535"/>
      <c r="H236" s="192"/>
      <c r="J236" s="71"/>
      <c r="K236" s="71"/>
      <c r="L236" s="223"/>
      <c r="N236" s="214"/>
      <c r="O236" s="193"/>
      <c r="W236" s="214"/>
      <c r="X236" s="193"/>
      <c r="Z236" s="214"/>
      <c r="AA236" s="193"/>
    </row>
    <row r="237" spans="2:27" x14ac:dyDescent="0.35">
      <c r="B237" s="77"/>
      <c r="C237" s="542"/>
      <c r="D237" s="73" t="s">
        <v>206</v>
      </c>
      <c r="E237" s="73"/>
      <c r="F237" s="74"/>
      <c r="G237" s="75"/>
      <c r="H237" s="202"/>
      <c r="J237" s="81"/>
      <c r="K237" s="81"/>
      <c r="L237" s="419"/>
      <c r="N237" s="198"/>
      <c r="O237" s="199"/>
      <c r="W237" s="218"/>
      <c r="X237" s="199"/>
      <c r="Z237" s="198"/>
      <c r="AA237" s="199"/>
    </row>
    <row r="238" spans="2:27" x14ac:dyDescent="0.35">
      <c r="C238" s="535"/>
      <c r="D238" s="56"/>
      <c r="E238" s="56"/>
      <c r="F238" s="65"/>
      <c r="G238" s="57"/>
      <c r="H238" s="196"/>
      <c r="J238" s="71"/>
      <c r="K238" s="71"/>
      <c r="L238" s="223"/>
      <c r="N238" s="214"/>
      <c r="O238" s="197"/>
      <c r="W238" s="214"/>
      <c r="X238" s="197"/>
      <c r="Z238" s="214"/>
      <c r="AA238" s="197"/>
    </row>
    <row r="239" spans="2:27" x14ac:dyDescent="0.35">
      <c r="B239" s="55" t="s">
        <v>1008</v>
      </c>
      <c r="C239" s="535" t="s">
        <v>923</v>
      </c>
      <c r="D239" s="55" t="s">
        <v>207</v>
      </c>
      <c r="F239" s="62" t="s">
        <v>60</v>
      </c>
      <c r="H239" s="192">
        <v>80.5</v>
      </c>
      <c r="J239" s="71">
        <f>(L239-H239)/L239</f>
        <v>0.5</v>
      </c>
      <c r="K239" s="221">
        <f t="shared" ref="K239:K240" si="140">ROUNDUP(L239/H239,2)</f>
        <v>2</v>
      </c>
      <c r="L239" s="223">
        <v>161</v>
      </c>
      <c r="N239" s="214">
        <v>0.4</v>
      </c>
      <c r="O239" s="193">
        <f>ROUNDUP(H239/-(N239-1),1)</f>
        <v>134.19999999999999</v>
      </c>
      <c r="W239" s="214">
        <f>(X239-H239)/X239</f>
        <v>0.47368421052631576</v>
      </c>
      <c r="X239" s="215">
        <f>(H239*$W$2)</f>
        <v>152.94999999999999</v>
      </c>
      <c r="Z239" s="214">
        <f t="shared" ref="Z239:Z240" si="141">N239+3/100</f>
        <v>0.43000000000000005</v>
      </c>
      <c r="AA239" s="223">
        <f>ROUNDUP(H239/-(Z239-1),3)</f>
        <v>141.22900000000001</v>
      </c>
    </row>
    <row r="240" spans="2:27" x14ac:dyDescent="0.35">
      <c r="B240" s="55" t="s">
        <v>1009</v>
      </c>
      <c r="C240" s="535" t="s">
        <v>924</v>
      </c>
      <c r="D240" s="55" t="s">
        <v>208</v>
      </c>
      <c r="F240" s="62" t="s">
        <v>60</v>
      </c>
      <c r="H240" s="192">
        <v>148</v>
      </c>
      <c r="J240" s="71">
        <f>(L240-H240)/L240</f>
        <v>0.49830508474576274</v>
      </c>
      <c r="K240" s="221">
        <f t="shared" si="140"/>
        <v>2</v>
      </c>
      <c r="L240" s="223">
        <v>295</v>
      </c>
      <c r="N240" s="214">
        <v>0.4</v>
      </c>
      <c r="O240" s="193">
        <f>ROUNDUP(H240/-(N240-1),1)</f>
        <v>246.7</v>
      </c>
      <c r="W240" s="214">
        <f>(X240-H240)/X240</f>
        <v>0.47368421052631576</v>
      </c>
      <c r="X240" s="215">
        <f>(H240*$W$2)</f>
        <v>281.2</v>
      </c>
      <c r="Z240" s="214">
        <f t="shared" si="141"/>
        <v>0.43000000000000005</v>
      </c>
      <c r="AA240" s="223">
        <f>ROUNDUP(H240/-(Z240-1),3)</f>
        <v>259.64999999999998</v>
      </c>
    </row>
    <row r="241" spans="2:27" x14ac:dyDescent="0.35">
      <c r="C241" s="535"/>
      <c r="H241" s="204"/>
      <c r="J241" s="71"/>
      <c r="K241" s="71"/>
      <c r="L241" s="223"/>
      <c r="N241" s="192"/>
      <c r="O241" s="193"/>
      <c r="W241" s="192"/>
      <c r="X241" s="193"/>
      <c r="Z241" s="192"/>
      <c r="AA241" s="193"/>
    </row>
    <row r="242" spans="2:27" x14ac:dyDescent="0.35">
      <c r="B242" s="77"/>
      <c r="C242" s="542"/>
      <c r="D242" s="73" t="s">
        <v>209</v>
      </c>
      <c r="E242" s="73"/>
      <c r="F242" s="74"/>
      <c r="G242" s="75"/>
      <c r="H242" s="202"/>
      <c r="J242" s="81"/>
      <c r="K242" s="81"/>
      <c r="L242" s="419"/>
      <c r="N242" s="198"/>
      <c r="O242" s="199"/>
      <c r="W242" s="218"/>
      <c r="X242" s="199"/>
      <c r="Z242" s="198"/>
      <c r="AA242" s="199"/>
    </row>
    <row r="243" spans="2:27" x14ac:dyDescent="0.35">
      <c r="B243" s="55" t="s">
        <v>210</v>
      </c>
      <c r="C243" s="535" t="s">
        <v>210</v>
      </c>
      <c r="D243" s="188" t="s">
        <v>440</v>
      </c>
      <c r="E243" s="188"/>
      <c r="F243" s="62" t="s">
        <v>76</v>
      </c>
      <c r="H243" s="192"/>
      <c r="J243" s="71">
        <v>0.5</v>
      </c>
      <c r="K243" s="221"/>
      <c r="L243" s="223">
        <f t="shared" ref="L243:L250" si="142">ROUNDUP(H243/-(J243-1),1)</f>
        <v>0</v>
      </c>
      <c r="N243" s="214">
        <v>0.4</v>
      </c>
      <c r="O243" s="193">
        <f t="shared" ref="O243:O250" si="143">ROUNDUP(H243/-(N243-1),1)</f>
        <v>0</v>
      </c>
      <c r="W243" s="214"/>
      <c r="X243" s="215"/>
      <c r="Z243" s="214">
        <v>0.43</v>
      </c>
      <c r="AA243" s="223">
        <f t="shared" ref="AA243:AA250" si="144">ROUNDUP(H243/-(Z243-1),3)</f>
        <v>0</v>
      </c>
    </row>
    <row r="244" spans="2:27" x14ac:dyDescent="0.35">
      <c r="B244" s="55" t="s">
        <v>210</v>
      </c>
      <c r="C244" s="535" t="s">
        <v>210</v>
      </c>
      <c r="D244" s="188" t="s">
        <v>440</v>
      </c>
      <c r="E244" s="188"/>
      <c r="F244" s="62" t="s">
        <v>76</v>
      </c>
      <c r="H244" s="192"/>
      <c r="J244" s="71">
        <v>0.5</v>
      </c>
      <c r="K244" s="221"/>
      <c r="L244" s="223">
        <f t="shared" si="142"/>
        <v>0</v>
      </c>
      <c r="N244" s="214">
        <v>0.4</v>
      </c>
      <c r="O244" s="193">
        <f t="shared" si="143"/>
        <v>0</v>
      </c>
      <c r="W244" s="214"/>
      <c r="X244" s="215"/>
      <c r="Z244" s="214">
        <v>0.43</v>
      </c>
      <c r="AA244" s="223">
        <f t="shared" si="144"/>
        <v>0</v>
      </c>
    </row>
    <row r="245" spans="2:27" x14ac:dyDescent="0.35">
      <c r="B245" s="55" t="s">
        <v>210</v>
      </c>
      <c r="C245" s="535" t="s">
        <v>210</v>
      </c>
      <c r="D245" s="188" t="s">
        <v>440</v>
      </c>
      <c r="F245" s="62" t="s">
        <v>76</v>
      </c>
      <c r="H245" s="192"/>
      <c r="J245" s="71">
        <v>0.5</v>
      </c>
      <c r="K245" s="221"/>
      <c r="L245" s="223">
        <f t="shared" si="142"/>
        <v>0</v>
      </c>
      <c r="N245" s="214">
        <v>0.4</v>
      </c>
      <c r="O245" s="193">
        <f t="shared" si="143"/>
        <v>0</v>
      </c>
      <c r="W245" s="214"/>
      <c r="X245" s="215"/>
      <c r="Z245" s="214">
        <v>0.43</v>
      </c>
      <c r="AA245" s="223">
        <f t="shared" si="144"/>
        <v>0</v>
      </c>
    </row>
    <row r="246" spans="2:27" x14ac:dyDescent="0.35">
      <c r="B246" s="55" t="s">
        <v>210</v>
      </c>
      <c r="C246" s="535" t="s">
        <v>210</v>
      </c>
      <c r="D246" s="188" t="s">
        <v>440</v>
      </c>
      <c r="E246" s="188"/>
      <c r="F246" s="62" t="s">
        <v>76</v>
      </c>
      <c r="J246" s="71">
        <v>0.5</v>
      </c>
      <c r="L246" s="223">
        <f t="shared" si="142"/>
        <v>0</v>
      </c>
      <c r="N246" s="214">
        <v>0.4</v>
      </c>
      <c r="O246" s="193">
        <f t="shared" si="143"/>
        <v>0</v>
      </c>
      <c r="Z246" s="214">
        <v>0.43</v>
      </c>
      <c r="AA246" s="223">
        <f t="shared" si="144"/>
        <v>0</v>
      </c>
    </row>
    <row r="247" spans="2:27" x14ac:dyDescent="0.35">
      <c r="B247" s="55" t="s">
        <v>210</v>
      </c>
      <c r="C247" s="535" t="s">
        <v>210</v>
      </c>
      <c r="D247" s="188" t="s">
        <v>440</v>
      </c>
      <c r="E247" s="188"/>
      <c r="F247" s="62" t="s">
        <v>76</v>
      </c>
      <c r="H247" s="192"/>
      <c r="J247" s="71">
        <v>0.5</v>
      </c>
      <c r="K247" s="221"/>
      <c r="L247" s="223">
        <f t="shared" si="142"/>
        <v>0</v>
      </c>
      <c r="N247" s="214">
        <v>0.4</v>
      </c>
      <c r="O247" s="193">
        <f t="shared" si="143"/>
        <v>0</v>
      </c>
      <c r="W247" s="214"/>
      <c r="X247" s="215"/>
      <c r="Z247" s="214">
        <v>0.43</v>
      </c>
      <c r="AA247" s="223">
        <f t="shared" si="144"/>
        <v>0</v>
      </c>
    </row>
    <row r="248" spans="2:27" x14ac:dyDescent="0.35">
      <c r="B248" s="55" t="s">
        <v>210</v>
      </c>
      <c r="C248" s="535" t="s">
        <v>210</v>
      </c>
      <c r="D248" s="188" t="s">
        <v>440</v>
      </c>
      <c r="E248" s="188"/>
      <c r="F248" s="62" t="s">
        <v>76</v>
      </c>
      <c r="H248" s="192"/>
      <c r="J248" s="71">
        <v>0.5</v>
      </c>
      <c r="K248" s="221"/>
      <c r="L248" s="223">
        <f t="shared" si="142"/>
        <v>0</v>
      </c>
      <c r="N248" s="214">
        <v>0.4</v>
      </c>
      <c r="O248" s="193">
        <f t="shared" si="143"/>
        <v>0</v>
      </c>
      <c r="W248" s="214"/>
      <c r="X248" s="215"/>
      <c r="Z248" s="214">
        <v>0.43</v>
      </c>
      <c r="AA248" s="223">
        <f t="shared" si="144"/>
        <v>0</v>
      </c>
    </row>
    <row r="249" spans="2:27" x14ac:dyDescent="0.35">
      <c r="B249" s="55" t="s">
        <v>210</v>
      </c>
      <c r="C249" s="535" t="s">
        <v>210</v>
      </c>
      <c r="D249" s="188" t="s">
        <v>440</v>
      </c>
      <c r="E249" s="188"/>
      <c r="F249" s="62" t="s">
        <v>76</v>
      </c>
      <c r="H249" s="192"/>
      <c r="J249" s="71">
        <v>0.5</v>
      </c>
      <c r="K249" s="221"/>
      <c r="L249" s="223">
        <f t="shared" si="142"/>
        <v>0</v>
      </c>
      <c r="N249" s="214">
        <v>0.4</v>
      </c>
      <c r="O249" s="193">
        <f t="shared" si="143"/>
        <v>0</v>
      </c>
      <c r="W249" s="214"/>
      <c r="X249" s="215"/>
      <c r="Z249" s="214">
        <v>0.43</v>
      </c>
      <c r="AA249" s="223">
        <f t="shared" si="144"/>
        <v>0</v>
      </c>
    </row>
    <row r="250" spans="2:27" x14ac:dyDescent="0.35">
      <c r="B250" s="55" t="s">
        <v>210</v>
      </c>
      <c r="C250" s="535" t="s">
        <v>210</v>
      </c>
      <c r="D250" s="188" t="s">
        <v>440</v>
      </c>
      <c r="E250" s="188"/>
      <c r="F250" s="62" t="s">
        <v>76</v>
      </c>
      <c r="H250" s="192"/>
      <c r="J250" s="71">
        <v>0.5</v>
      </c>
      <c r="K250" s="221"/>
      <c r="L250" s="223">
        <f t="shared" si="142"/>
        <v>0</v>
      </c>
      <c r="N250" s="214">
        <v>0.4</v>
      </c>
      <c r="O250" s="193">
        <f t="shared" si="143"/>
        <v>0</v>
      </c>
      <c r="W250" s="214"/>
      <c r="X250" s="215"/>
      <c r="Z250" s="214">
        <v>0.43</v>
      </c>
      <c r="AA250" s="223">
        <f t="shared" si="144"/>
        <v>0</v>
      </c>
    </row>
    <row r="254" spans="2:27" x14ac:dyDescent="0.35">
      <c r="D254" s="189" t="s">
        <v>211</v>
      </c>
      <c r="E254" s="189">
        <v>343.15</v>
      </c>
    </row>
    <row r="255" spans="2:27" x14ac:dyDescent="0.35">
      <c r="D255" s="189" t="s">
        <v>212</v>
      </c>
      <c r="E255" s="189">
        <v>363.65</v>
      </c>
      <c r="F255" s="62" t="s">
        <v>213</v>
      </c>
    </row>
    <row r="256" spans="2:27" x14ac:dyDescent="0.35">
      <c r="D256" s="189" t="s">
        <v>214</v>
      </c>
      <c r="E256" s="189">
        <v>444.74</v>
      </c>
      <c r="F256" s="62" t="s">
        <v>215</v>
      </c>
    </row>
    <row r="257" spans="4:6" x14ac:dyDescent="0.35">
      <c r="D257" s="189" t="s">
        <v>216</v>
      </c>
      <c r="E257" s="189">
        <v>415.36</v>
      </c>
      <c r="F257" s="62" t="s">
        <v>217</v>
      </c>
    </row>
    <row r="259" spans="4:6" x14ac:dyDescent="0.35">
      <c r="D259" s="190" t="s">
        <v>218</v>
      </c>
      <c r="E259" s="190" t="s">
        <v>219</v>
      </c>
    </row>
    <row r="260" spans="4:6" x14ac:dyDescent="0.35">
      <c r="D260" s="190" t="s">
        <v>220</v>
      </c>
      <c r="E260" s="191">
        <v>800</v>
      </c>
    </row>
    <row r="261" spans="4:6" x14ac:dyDescent="0.35">
      <c r="D261" s="190" t="s">
        <v>221</v>
      </c>
      <c r="E261" s="191">
        <v>600</v>
      </c>
    </row>
    <row r="262" spans="4:6" x14ac:dyDescent="0.35">
      <c r="D262" s="190" t="s">
        <v>222</v>
      </c>
      <c r="E262" s="191">
        <v>900</v>
      </c>
    </row>
    <row r="263" spans="4:6" x14ac:dyDescent="0.35">
      <c r="D263" s="190" t="s">
        <v>223</v>
      </c>
      <c r="E263" s="191">
        <v>800</v>
      </c>
    </row>
    <row r="264" spans="4:6" x14ac:dyDescent="0.35">
      <c r="D264" s="190" t="s">
        <v>224</v>
      </c>
      <c r="E264" s="191">
        <v>1000</v>
      </c>
    </row>
    <row r="265" spans="4:6" x14ac:dyDescent="0.35">
      <c r="D265" s="190" t="s">
        <v>225</v>
      </c>
      <c r="E265" s="191">
        <v>1200</v>
      </c>
    </row>
    <row r="266" spans="4:6" x14ac:dyDescent="0.35">
      <c r="D266" s="190" t="s">
        <v>226</v>
      </c>
      <c r="E266" s="191">
        <v>1100</v>
      </c>
    </row>
    <row r="267" spans="4:6" x14ac:dyDescent="0.35">
      <c r="D267" s="190" t="s">
        <v>227</v>
      </c>
      <c r="E267" s="191">
        <v>1200</v>
      </c>
    </row>
    <row r="268" spans="4:6" x14ac:dyDescent="0.35">
      <c r="D268" s="190" t="s">
        <v>228</v>
      </c>
      <c r="E268" s="191">
        <v>1400</v>
      </c>
    </row>
    <row r="269" spans="4:6" x14ac:dyDescent="0.35">
      <c r="D269" s="190" t="s">
        <v>229</v>
      </c>
      <c r="E269" s="191">
        <v>1400</v>
      </c>
    </row>
    <row r="270" spans="4:6" x14ac:dyDescent="0.35">
      <c r="D270" s="190" t="s">
        <v>230</v>
      </c>
      <c r="E270" s="191">
        <v>1400</v>
      </c>
    </row>
    <row r="271" spans="4:6" x14ac:dyDescent="0.35">
      <c r="D271" s="190" t="s">
        <v>231</v>
      </c>
      <c r="E271" s="191">
        <v>700</v>
      </c>
    </row>
    <row r="272" spans="4:6" x14ac:dyDescent="0.35">
      <c r="D272" s="190" t="s">
        <v>232</v>
      </c>
      <c r="E272" s="191">
        <v>1500</v>
      </c>
    </row>
    <row r="273" spans="4:5" x14ac:dyDescent="0.35">
      <c r="D273" s="190" t="s">
        <v>233</v>
      </c>
      <c r="E273" s="191">
        <v>1400</v>
      </c>
    </row>
    <row r="274" spans="4:5" x14ac:dyDescent="0.35">
      <c r="D274" s="190" t="s">
        <v>234</v>
      </c>
      <c r="E274" s="191">
        <v>1400</v>
      </c>
    </row>
    <row r="275" spans="4:5" x14ac:dyDescent="0.35">
      <c r="D275" s="190" t="s">
        <v>235</v>
      </c>
      <c r="E275" s="191">
        <v>1900</v>
      </c>
    </row>
    <row r="276" spans="4:5" x14ac:dyDescent="0.35">
      <c r="D276" s="190" t="s">
        <v>236</v>
      </c>
      <c r="E276" s="191">
        <v>900</v>
      </c>
    </row>
    <row r="277" spans="4:5" x14ac:dyDescent="0.35">
      <c r="D277" s="190" t="s">
        <v>237</v>
      </c>
      <c r="E277" s="191">
        <v>2000</v>
      </c>
    </row>
    <row r="278" spans="4:5" x14ac:dyDescent="0.35">
      <c r="D278" s="190" t="s">
        <v>238</v>
      </c>
      <c r="E278" s="191">
        <v>1900</v>
      </c>
    </row>
    <row r="279" spans="4:5" x14ac:dyDescent="0.35">
      <c r="D279" s="190" t="s">
        <v>239</v>
      </c>
      <c r="E279" s="191">
        <v>2350</v>
      </c>
    </row>
    <row r="280" spans="4:5" x14ac:dyDescent="0.35">
      <c r="D280" s="190" t="s">
        <v>240</v>
      </c>
      <c r="E280" s="191">
        <v>2800</v>
      </c>
    </row>
    <row r="281" spans="4:5" x14ac:dyDescent="0.35">
      <c r="D281" s="190" t="s">
        <v>241</v>
      </c>
      <c r="E281" s="191">
        <v>3700</v>
      </c>
    </row>
    <row r="282" spans="4:5" x14ac:dyDescent="0.35">
      <c r="D282" s="190" t="s">
        <v>242</v>
      </c>
      <c r="E282" s="191">
        <v>3800</v>
      </c>
    </row>
    <row r="283" spans="4:5" x14ac:dyDescent="0.35">
      <c r="D283" s="190" t="s">
        <v>243</v>
      </c>
      <c r="E283" s="191">
        <v>3900</v>
      </c>
    </row>
    <row r="376" spans="4:4" x14ac:dyDescent="0.35">
      <c r="D376" s="314"/>
    </row>
    <row r="377" spans="4:4" x14ac:dyDescent="0.35">
      <c r="D377" s="314"/>
    </row>
    <row r="378" spans="4:4" x14ac:dyDescent="0.35">
      <c r="D378" s="314"/>
    </row>
    <row r="379" spans="4:4" x14ac:dyDescent="0.35">
      <c r="D379" s="314"/>
    </row>
    <row r="382" spans="4:4" x14ac:dyDescent="0.35">
      <c r="D382" s="314"/>
    </row>
    <row r="383" spans="4:4" x14ac:dyDescent="0.35">
      <c r="D383" s="314"/>
    </row>
    <row r="384" spans="4:4" x14ac:dyDescent="0.35">
      <c r="D384" s="314"/>
    </row>
    <row r="385" spans="4:4" x14ac:dyDescent="0.35">
      <c r="D385" s="314"/>
    </row>
    <row r="386" spans="4:4" x14ac:dyDescent="0.35">
      <c r="D386" s="314"/>
    </row>
    <row r="387" spans="4:4" x14ac:dyDescent="0.35">
      <c r="D387" s="314"/>
    </row>
    <row r="388" spans="4:4" x14ac:dyDescent="0.35">
      <c r="D388" s="314"/>
    </row>
    <row r="389" spans="4:4" x14ac:dyDescent="0.35">
      <c r="D389" s="314"/>
    </row>
  </sheetData>
  <customSheetViews>
    <customSheetView guid="{F819DB18-533D-4F21-A4A0-15735EB80015}" scale="85" hiddenRows="1">
      <pane xSplit="5" ySplit="4" topLeftCell="F5" activePane="bottomRight" state="frozen"/>
      <selection pane="bottomRight" activeCell="B1" sqref="B1"/>
      <pageMargins left="0" right="0" top="0" bottom="0" header="0" footer="0"/>
      <pageSetup paperSize="8" scale="90" orientation="landscape" r:id="rId1"/>
    </customSheetView>
  </customSheetViews>
  <mergeCells count="3">
    <mergeCell ref="B2:C2"/>
    <mergeCell ref="J2:L2"/>
    <mergeCell ref="AC2:AG2"/>
  </mergeCells>
  <phoneticPr fontId="20" type="noConversion"/>
  <pageMargins left="0.70866141732283472" right="0.70866141732283472" top="0.74803149606299213" bottom="0.74803149606299213" header="0.31496062992125984" footer="0.31496062992125984"/>
  <pageSetup paperSize="8" scale="90" orientation="landscape" r:id="rId2"/>
  <drawing r:id="rId3"/>
  <legacy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D2C63-F098-49E1-88F8-645241BA94C7}">
  <sheetPr>
    <tabColor rgb="FF00B0F0"/>
    <pageSetUpPr fitToPage="1"/>
  </sheetPr>
  <dimension ref="A1:P138"/>
  <sheetViews>
    <sheetView tabSelected="1" topLeftCell="A2" zoomScale="115" zoomScaleNormal="115" workbookViewId="0">
      <selection activeCell="I9" sqref="I9"/>
    </sheetView>
  </sheetViews>
  <sheetFormatPr baseColWidth="10" defaultColWidth="11.36328125" defaultRowHeight="13" x14ac:dyDescent="0.3"/>
  <cols>
    <col min="1" max="1" width="14.36328125" style="82" customWidth="1"/>
    <col min="2" max="2" width="13.54296875" style="82" customWidth="1"/>
    <col min="3" max="3" width="50.36328125" style="82" customWidth="1"/>
    <col min="4" max="4" width="21" style="82" customWidth="1"/>
    <col min="5" max="5" width="26.54296875" style="82" customWidth="1"/>
    <col min="6" max="6" width="20.36328125" style="82" customWidth="1"/>
    <col min="7" max="7" width="13.54296875" style="82" customWidth="1"/>
    <col min="8" max="8" width="23" style="82" customWidth="1"/>
    <col min="9" max="9" width="17.81640625" style="82" customWidth="1"/>
    <col min="10" max="10" width="11.36328125" style="644"/>
    <col min="11" max="16384" width="11.36328125" style="82"/>
  </cols>
  <sheetData>
    <row r="1" spans="1:16" ht="19.5" customHeight="1" thickBot="1" x14ac:dyDescent="0.4">
      <c r="A1" s="644"/>
      <c r="B1" s="644"/>
      <c r="C1" s="644"/>
      <c r="D1" s="644"/>
      <c r="E1" s="644"/>
      <c r="F1" s="644"/>
      <c r="G1" s="644"/>
      <c r="H1" s="662"/>
      <c r="I1" s="663"/>
      <c r="N1" s="55"/>
      <c r="O1" s="55"/>
      <c r="P1" s="55"/>
    </row>
    <row r="2" spans="1:16" ht="21" customHeight="1" thickBot="1" x14ac:dyDescent="0.35">
      <c r="B2" s="579" t="s">
        <v>244</v>
      </c>
      <c r="C2" s="580"/>
      <c r="D2" s="580"/>
      <c r="E2" s="580"/>
      <c r="F2" s="580"/>
      <c r="G2" s="580"/>
      <c r="H2" s="580"/>
      <c r="I2" s="581"/>
    </row>
    <row r="3" spans="1:16" ht="19.5" customHeight="1" x14ac:dyDescent="0.35">
      <c r="A3" s="644"/>
      <c r="B3" s="658"/>
      <c r="C3" s="644"/>
      <c r="H3" s="97"/>
      <c r="I3" s="117"/>
    </row>
    <row r="4" spans="1:16" ht="19.5" customHeight="1" x14ac:dyDescent="0.3">
      <c r="A4" s="644"/>
      <c r="B4" s="658"/>
      <c r="C4" s="644"/>
      <c r="D4" s="102" t="s">
        <v>209</v>
      </c>
      <c r="E4" s="99" t="s">
        <v>245</v>
      </c>
      <c r="F4" s="100"/>
      <c r="G4" s="104" t="s">
        <v>209</v>
      </c>
      <c r="H4" s="99" t="s">
        <v>246</v>
      </c>
      <c r="I4" s="118"/>
    </row>
    <row r="5" spans="1:16" ht="19.5" customHeight="1" x14ac:dyDescent="0.3">
      <c r="A5" s="645"/>
      <c r="B5" s="658"/>
      <c r="C5" s="644"/>
      <c r="I5" s="119"/>
    </row>
    <row r="6" spans="1:16" ht="20.25" customHeight="1" thickBot="1" x14ac:dyDescent="0.4">
      <c r="A6" s="645"/>
      <c r="B6" s="658"/>
      <c r="C6" s="644"/>
      <c r="D6" s="518" t="s">
        <v>247</v>
      </c>
      <c r="E6" s="518"/>
      <c r="F6" s="518"/>
      <c r="I6" s="119"/>
    </row>
    <row r="7" spans="1:16" ht="16" thickBot="1" x14ac:dyDescent="0.4">
      <c r="A7" s="645"/>
      <c r="B7" s="644"/>
      <c r="C7" s="659"/>
      <c r="D7" s="591"/>
      <c r="E7" s="592"/>
      <c r="F7" s="95" t="s">
        <v>248</v>
      </c>
      <c r="G7" s="589"/>
      <c r="H7" s="590"/>
      <c r="I7" s="119"/>
    </row>
    <row r="8" spans="1:16" ht="19.5" customHeight="1" thickBot="1" x14ac:dyDescent="0.4">
      <c r="A8" s="645"/>
      <c r="B8" s="644"/>
      <c r="C8" s="644"/>
      <c r="D8" s="518"/>
      <c r="E8" s="518"/>
      <c r="F8" s="518"/>
      <c r="I8" s="119"/>
    </row>
    <row r="9" spans="1:16" ht="15" thickBot="1" x14ac:dyDescent="0.4">
      <c r="A9" s="645"/>
      <c r="B9" s="644"/>
      <c r="C9" s="644"/>
      <c r="D9" s="518" t="s">
        <v>926</v>
      </c>
      <c r="E9" s="519"/>
      <c r="F9" s="95" t="s">
        <v>249</v>
      </c>
      <c r="G9" s="98"/>
      <c r="H9" s="95" t="s">
        <v>250</v>
      </c>
      <c r="I9" s="120" t="s">
        <v>1224</v>
      </c>
    </row>
    <row r="10" spans="1:16" ht="13.5" thickBot="1" x14ac:dyDescent="0.35">
      <c r="A10" s="660" t="s">
        <v>251</v>
      </c>
      <c r="B10" s="661"/>
      <c r="C10" s="661"/>
      <c r="D10" s="116"/>
      <c r="E10" s="116"/>
      <c r="F10" s="116"/>
      <c r="G10" s="116"/>
      <c r="H10" s="116"/>
      <c r="I10" s="121"/>
    </row>
    <row r="11" spans="1:16" x14ac:dyDescent="0.3">
      <c r="A11" s="645"/>
      <c r="B11" s="644"/>
      <c r="C11" s="646" t="s">
        <v>252</v>
      </c>
      <c r="D11" s="113" t="s">
        <v>253</v>
      </c>
      <c r="E11" s="114" t="s">
        <v>254</v>
      </c>
      <c r="F11" s="82" t="s">
        <v>255</v>
      </c>
      <c r="G11" s="113" t="s">
        <v>256</v>
      </c>
      <c r="H11" s="115" t="s">
        <v>257</v>
      </c>
      <c r="I11" s="122"/>
    </row>
    <row r="12" spans="1:16" ht="15.5" x14ac:dyDescent="0.35">
      <c r="A12" s="645"/>
      <c r="B12" s="647" t="s">
        <v>258</v>
      </c>
      <c r="C12" s="648"/>
      <c r="D12" s="133">
        <v>3</v>
      </c>
      <c r="E12" s="133">
        <v>3</v>
      </c>
      <c r="F12" s="133">
        <v>3</v>
      </c>
      <c r="G12" s="133">
        <v>3</v>
      </c>
      <c r="H12" s="133">
        <v>2.8</v>
      </c>
      <c r="I12" s="490"/>
    </row>
    <row r="13" spans="1:16" ht="13.5" customHeight="1" x14ac:dyDescent="0.3">
      <c r="A13" s="645"/>
      <c r="B13" s="644"/>
      <c r="C13" s="644"/>
      <c r="D13" s="140"/>
      <c r="H13" s="141"/>
      <c r="I13" s="142"/>
    </row>
    <row r="14" spans="1:16" ht="13.5" thickBot="1" x14ac:dyDescent="0.35">
      <c r="A14" s="645"/>
      <c r="B14" s="593" t="s">
        <v>259</v>
      </c>
      <c r="C14" s="594"/>
      <c r="D14" s="603" t="s">
        <v>260</v>
      </c>
      <c r="E14" s="594"/>
      <c r="F14" s="143" t="s">
        <v>261</v>
      </c>
      <c r="G14" s="220"/>
      <c r="H14" s="220" t="s">
        <v>262</v>
      </c>
      <c r="I14" s="144" t="s">
        <v>263</v>
      </c>
    </row>
    <row r="15" spans="1:16" ht="14.5" x14ac:dyDescent="0.35">
      <c r="A15" s="645"/>
      <c r="B15" s="597" t="s">
        <v>264</v>
      </c>
      <c r="C15" s="598"/>
      <c r="D15" s="558" t="s">
        <v>774</v>
      </c>
      <c r="E15" s="559"/>
      <c r="F15" s="125" t="s">
        <v>265</v>
      </c>
      <c r="G15" s="126">
        <f>G49</f>
        <v>0</v>
      </c>
      <c r="H15" s="132">
        <f>I49</f>
        <v>0</v>
      </c>
      <c r="I15" s="133">
        <v>1</v>
      </c>
    </row>
    <row r="16" spans="1:16" ht="14.5" x14ac:dyDescent="0.35">
      <c r="A16" s="645"/>
      <c r="B16" s="145" t="s">
        <v>266</v>
      </c>
      <c r="C16" s="127"/>
      <c r="D16" s="560"/>
      <c r="E16" s="561"/>
      <c r="F16" s="128" t="s">
        <v>265</v>
      </c>
      <c r="G16" s="129">
        <f>G50</f>
        <v>0</v>
      </c>
      <c r="H16" s="132">
        <f>I50</f>
        <v>0</v>
      </c>
      <c r="I16" s="491"/>
    </row>
    <row r="17" spans="1:9" ht="14.5" x14ac:dyDescent="0.35">
      <c r="A17" s="645"/>
      <c r="B17" s="145" t="s">
        <v>267</v>
      </c>
      <c r="C17" s="127"/>
      <c r="D17" s="560"/>
      <c r="E17" s="561"/>
      <c r="F17" s="128" t="s">
        <v>265</v>
      </c>
      <c r="G17" s="129">
        <f>G51</f>
        <v>20</v>
      </c>
      <c r="H17" s="132">
        <f>I51</f>
        <v>6</v>
      </c>
      <c r="I17" s="491"/>
    </row>
    <row r="18" spans="1:9" ht="15" thickBot="1" x14ac:dyDescent="0.4">
      <c r="A18" s="645"/>
      <c r="B18" s="595" t="s">
        <v>268</v>
      </c>
      <c r="C18" s="596"/>
      <c r="D18" s="562"/>
      <c r="E18" s="563"/>
      <c r="F18" s="130" t="s">
        <v>265</v>
      </c>
      <c r="G18" s="131">
        <f>G52</f>
        <v>0</v>
      </c>
      <c r="H18" s="148">
        <f>I52</f>
        <v>0</v>
      </c>
      <c r="I18" s="492"/>
    </row>
    <row r="19" spans="1:9" ht="14.5" x14ac:dyDescent="0.35">
      <c r="A19" s="645"/>
      <c r="B19" s="437" t="s">
        <v>269</v>
      </c>
      <c r="C19" s="438"/>
      <c r="D19" s="599" t="s">
        <v>51</v>
      </c>
      <c r="E19" s="600"/>
      <c r="F19" s="125" t="s">
        <v>265</v>
      </c>
      <c r="G19" s="126">
        <f>I32</f>
        <v>0</v>
      </c>
      <c r="H19" s="147"/>
      <c r="I19" s="146"/>
    </row>
    <row r="20" spans="1:9" ht="14.5" x14ac:dyDescent="0.35">
      <c r="A20" s="645"/>
      <c r="B20" s="564" t="s">
        <v>270</v>
      </c>
      <c r="C20" s="565"/>
      <c r="D20" s="601" t="s">
        <v>51</v>
      </c>
      <c r="E20" s="602"/>
      <c r="F20" s="486" t="s">
        <v>265</v>
      </c>
      <c r="G20" s="487">
        <f>I43</f>
        <v>0</v>
      </c>
      <c r="H20" s="132"/>
      <c r="I20" s="133">
        <v>0</v>
      </c>
    </row>
    <row r="21" spans="1:9" ht="15.75" customHeight="1" thickBot="1" x14ac:dyDescent="0.35">
      <c r="A21" s="645"/>
      <c r="B21" s="564" t="s">
        <v>1015</v>
      </c>
      <c r="C21" s="565"/>
      <c r="D21" s="622"/>
      <c r="E21" s="623"/>
      <c r="F21" s="486" t="s">
        <v>265</v>
      </c>
      <c r="G21" s="124"/>
      <c r="H21" s="124"/>
      <c r="I21" s="138" t="s">
        <v>271</v>
      </c>
    </row>
    <row r="22" spans="1:9" ht="13.5" customHeight="1" thickBot="1" x14ac:dyDescent="0.35">
      <c r="A22" s="645"/>
      <c r="B22" s="564" t="s">
        <v>1016</v>
      </c>
      <c r="C22" s="565"/>
      <c r="D22" s="622"/>
      <c r="E22" s="623"/>
      <c r="F22" s="644"/>
      <c r="I22" s="137"/>
    </row>
    <row r="23" spans="1:9" x14ac:dyDescent="0.3">
      <c r="A23" s="645"/>
      <c r="B23" s="585" t="s">
        <v>272</v>
      </c>
      <c r="C23" s="586"/>
      <c r="D23" s="587"/>
      <c r="E23" s="139" t="s">
        <v>273</v>
      </c>
      <c r="F23" s="644"/>
      <c r="G23" s="87" t="s">
        <v>274</v>
      </c>
      <c r="H23" s="583" t="s">
        <v>275</v>
      </c>
      <c r="I23" s="584"/>
    </row>
    <row r="24" spans="1:9" x14ac:dyDescent="0.3">
      <c r="A24" s="645"/>
      <c r="B24" s="85" t="s">
        <v>276</v>
      </c>
      <c r="C24" s="83"/>
      <c r="D24" s="83"/>
      <c r="E24" s="149">
        <v>0</v>
      </c>
      <c r="F24" s="644"/>
      <c r="G24" s="87" t="s">
        <v>277</v>
      </c>
      <c r="H24" s="87" t="s">
        <v>278</v>
      </c>
      <c r="I24" s="123" t="s">
        <v>279</v>
      </c>
    </row>
    <row r="25" spans="1:9" x14ac:dyDescent="0.3">
      <c r="A25" s="645"/>
      <c r="B25" s="85" t="s">
        <v>280</v>
      </c>
      <c r="C25" s="83"/>
      <c r="D25" s="83"/>
      <c r="E25" s="149">
        <v>0</v>
      </c>
      <c r="F25" s="644"/>
      <c r="G25" s="87"/>
      <c r="H25" s="133">
        <v>0</v>
      </c>
      <c r="I25" s="134">
        <v>1</v>
      </c>
    </row>
    <row r="26" spans="1:9" x14ac:dyDescent="0.3">
      <c r="A26" s="645"/>
      <c r="B26" s="85" t="s">
        <v>281</v>
      </c>
      <c r="C26" s="83"/>
      <c r="D26" s="83"/>
      <c r="E26" s="149">
        <v>6</v>
      </c>
      <c r="F26" s="644"/>
      <c r="G26" s="87"/>
      <c r="H26" s="133"/>
      <c r="I26" s="134"/>
    </row>
    <row r="27" spans="1:9" x14ac:dyDescent="0.3">
      <c r="A27" s="645"/>
      <c r="B27" s="85" t="s">
        <v>282</v>
      </c>
      <c r="C27" s="83"/>
      <c r="D27" s="83"/>
      <c r="E27" s="149">
        <v>0</v>
      </c>
      <c r="F27" s="644"/>
      <c r="G27" s="87"/>
      <c r="H27" s="133"/>
      <c r="I27" s="134"/>
    </row>
    <row r="28" spans="1:9" x14ac:dyDescent="0.3">
      <c r="A28" s="645"/>
      <c r="B28" s="85" t="s">
        <v>283</v>
      </c>
      <c r="C28" s="83"/>
      <c r="D28" s="83"/>
      <c r="E28" s="149">
        <v>0</v>
      </c>
      <c r="F28" s="644"/>
      <c r="G28" s="87"/>
      <c r="H28" s="133"/>
      <c r="I28" s="134"/>
    </row>
    <row r="29" spans="1:9" x14ac:dyDescent="0.3">
      <c r="A29" s="645"/>
      <c r="B29" s="85" t="s">
        <v>284</v>
      </c>
      <c r="C29" s="83"/>
      <c r="D29" s="83"/>
      <c r="E29" s="149">
        <v>0</v>
      </c>
      <c r="F29" s="644"/>
      <c r="G29" s="87"/>
      <c r="H29" s="133"/>
      <c r="I29" s="134"/>
    </row>
    <row r="30" spans="1:9" x14ac:dyDescent="0.3">
      <c r="A30" s="645"/>
      <c r="B30" s="85" t="s">
        <v>285</v>
      </c>
      <c r="C30" s="83"/>
      <c r="D30" s="83"/>
      <c r="E30" s="149">
        <v>0</v>
      </c>
      <c r="F30" s="644"/>
      <c r="G30" s="87"/>
      <c r="H30" s="133"/>
      <c r="I30" s="134"/>
    </row>
    <row r="31" spans="1:9" x14ac:dyDescent="0.3">
      <c r="A31" s="645"/>
      <c r="B31" s="85" t="s">
        <v>286</v>
      </c>
      <c r="C31" s="83"/>
      <c r="D31" s="83"/>
      <c r="E31" s="149">
        <v>0</v>
      </c>
      <c r="F31" s="644"/>
      <c r="G31" s="87"/>
      <c r="H31" s="135"/>
      <c r="I31" s="136"/>
    </row>
    <row r="32" spans="1:9" ht="14.25" customHeight="1" x14ac:dyDescent="0.35">
      <c r="A32" s="645"/>
      <c r="B32" s="85" t="s">
        <v>287</v>
      </c>
      <c r="C32" s="83"/>
      <c r="D32" s="83"/>
      <c r="E32" s="149">
        <v>0</v>
      </c>
      <c r="F32" s="644"/>
      <c r="G32" s="87" t="s">
        <v>288</v>
      </c>
      <c r="H32" s="101">
        <f>SUM(H25*I25,H26*I26,H27*I27,H28*I28,H29*I29,H30*I30,H31*I31)</f>
        <v>0</v>
      </c>
      <c r="I32" s="465">
        <f>ROUND(H32*1.05,0)</f>
        <v>0</v>
      </c>
    </row>
    <row r="33" spans="1:12" x14ac:dyDescent="0.3">
      <c r="A33" s="645"/>
      <c r="B33" s="85" t="s">
        <v>289</v>
      </c>
      <c r="C33" s="83"/>
      <c r="D33" s="83"/>
      <c r="E33" s="149">
        <v>0</v>
      </c>
      <c r="F33" s="644"/>
      <c r="G33" s="87" t="s">
        <v>290</v>
      </c>
      <c r="H33" s="87" t="s">
        <v>278</v>
      </c>
      <c r="I33" s="123" t="s">
        <v>279</v>
      </c>
    </row>
    <row r="34" spans="1:12" x14ac:dyDescent="0.3">
      <c r="A34" s="645"/>
      <c r="B34" s="85" t="s">
        <v>291</v>
      </c>
      <c r="C34" s="83"/>
      <c r="D34" s="83"/>
      <c r="E34" s="149">
        <v>0</v>
      </c>
      <c r="F34" s="644"/>
      <c r="G34" s="87"/>
      <c r="H34" s="133">
        <v>0</v>
      </c>
      <c r="I34" s="134">
        <v>1</v>
      </c>
    </row>
    <row r="35" spans="1:12" x14ac:dyDescent="0.3">
      <c r="A35" s="645"/>
      <c r="B35" s="85" t="s">
        <v>292</v>
      </c>
      <c r="C35" s="83"/>
      <c r="D35" s="83"/>
      <c r="E35" s="149">
        <v>0</v>
      </c>
      <c r="F35" s="644"/>
      <c r="G35" s="87"/>
      <c r="H35" s="133"/>
      <c r="I35" s="134"/>
    </row>
    <row r="36" spans="1:12" x14ac:dyDescent="0.3">
      <c r="A36" s="645"/>
      <c r="B36" s="85" t="s">
        <v>293</v>
      </c>
      <c r="C36" s="83"/>
      <c r="D36" s="83"/>
      <c r="E36" s="149">
        <v>0</v>
      </c>
      <c r="F36" s="644"/>
      <c r="G36" s="87"/>
      <c r="H36" s="133"/>
      <c r="I36" s="134"/>
    </row>
    <row r="37" spans="1:12" x14ac:dyDescent="0.3">
      <c r="A37" s="645"/>
      <c r="B37" s="85" t="s">
        <v>294</v>
      </c>
      <c r="C37" s="83"/>
      <c r="D37" s="83"/>
      <c r="E37" s="149">
        <v>0</v>
      </c>
      <c r="F37" s="644"/>
      <c r="G37" s="87"/>
      <c r="H37" s="133"/>
      <c r="I37" s="134"/>
    </row>
    <row r="38" spans="1:12" x14ac:dyDescent="0.3">
      <c r="A38" s="645"/>
      <c r="B38" s="85" t="s">
        <v>295</v>
      </c>
      <c r="C38" s="83"/>
      <c r="D38" s="83"/>
      <c r="E38" s="149">
        <v>0</v>
      </c>
      <c r="F38" s="644"/>
      <c r="G38" s="87"/>
      <c r="H38" s="133"/>
      <c r="I38" s="134"/>
    </row>
    <row r="39" spans="1:12" x14ac:dyDescent="0.3">
      <c r="A39" s="645"/>
      <c r="B39" s="94" t="s">
        <v>296</v>
      </c>
      <c r="C39" s="90"/>
      <c r="D39" s="90"/>
      <c r="E39" s="149">
        <v>0</v>
      </c>
      <c r="F39" s="644"/>
      <c r="G39" s="87"/>
      <c r="H39" s="133"/>
      <c r="I39" s="134"/>
    </row>
    <row r="40" spans="1:12" x14ac:dyDescent="0.3">
      <c r="A40" s="645"/>
      <c r="B40" s="94" t="s">
        <v>297</v>
      </c>
      <c r="C40" s="90"/>
      <c r="D40" s="90"/>
      <c r="E40" s="149">
        <v>0</v>
      </c>
      <c r="F40" s="644"/>
      <c r="G40" s="87"/>
      <c r="H40" s="133"/>
      <c r="I40" s="134"/>
    </row>
    <row r="41" spans="1:12" ht="14.5" x14ac:dyDescent="0.35">
      <c r="A41" s="645"/>
      <c r="B41" s="85" t="s">
        <v>298</v>
      </c>
      <c r="C41" s="83"/>
      <c r="D41" s="92"/>
      <c r="E41" s="101">
        <f>IF(SUM(E24:E40)=0,0,ROUND((((I76*2)+(I77*2)+(I78*2)+(I79)+(I83*2)+(((I49+2)*D12)*2)+(((I50+2)*E12)*2)+(((H68+2)*F12))+(((((I51+2)*F12))+(I52+2)*G12*2)+(((H32/(1.2*3.5)+(H43/(1.2*3.5)))*1.2)+2)*D12)*2)+(I84*(0.6*4))+(I85*((0.6*2)+(0.3*2)))+(I87*(0.2*4))+((E34*8)*1.2))*1/1,0))</f>
        <v>184</v>
      </c>
      <c r="F41" s="644"/>
      <c r="G41" s="87"/>
      <c r="H41" s="133"/>
      <c r="I41" s="134"/>
      <c r="L41" s="93"/>
    </row>
    <row r="42" spans="1:12" ht="14.5" x14ac:dyDescent="0.35">
      <c r="A42" s="645"/>
      <c r="B42" s="85" t="s">
        <v>299</v>
      </c>
      <c r="C42" s="83"/>
      <c r="D42" s="92"/>
      <c r="E42" s="101">
        <f>ROUND(((D73*10.6)+(D74*10.8)+(D75*11)+(D76*11)+(D78*11.6)+(D79*12)+(D80*12)+(D81*12.4)+(D82*12.8)+(D84*13)+(D85*16)+(D87*17))*1/1,0)</f>
        <v>0</v>
      </c>
      <c r="F42" s="644"/>
      <c r="G42" s="87"/>
      <c r="H42" s="135"/>
      <c r="I42" s="136"/>
    </row>
    <row r="43" spans="1:12" ht="14.5" x14ac:dyDescent="0.35">
      <c r="A43" s="645"/>
      <c r="B43" s="85" t="s">
        <v>300</v>
      </c>
      <c r="C43" s="83"/>
      <c r="D43" s="92"/>
      <c r="E43" s="101">
        <f>ROUND(((I72*9)+(I73*14)+(I74*4)+(E28*8)+((E28/2)*H12*4))*1/1,0)</f>
        <v>0</v>
      </c>
      <c r="F43" s="644"/>
      <c r="G43" s="87" t="s">
        <v>288</v>
      </c>
      <c r="H43" s="101">
        <f>SUM(H34*I34,H35*I35,H36*I36,H37*I37,H38*I38,H39*I39,H40*I40,H41*I41,H42*I42)</f>
        <v>0</v>
      </c>
      <c r="I43" s="465">
        <f>ROUND(H43*1.05,0)</f>
        <v>0</v>
      </c>
    </row>
    <row r="44" spans="1:12" ht="14.25" customHeight="1" x14ac:dyDescent="0.3">
      <c r="A44" s="645"/>
      <c r="B44" s="644"/>
      <c r="C44" s="644"/>
      <c r="D44" s="644"/>
      <c r="E44" s="644" t="s">
        <v>301</v>
      </c>
      <c r="F44" s="644"/>
      <c r="G44" s="649"/>
      <c r="H44" s="664"/>
      <c r="I44" s="665"/>
    </row>
    <row r="45" spans="1:12" ht="14.25" customHeight="1" x14ac:dyDescent="0.3">
      <c r="A45" s="645"/>
      <c r="B45" s="644"/>
      <c r="C45" s="644"/>
      <c r="D45" s="644"/>
      <c r="E45" s="644"/>
      <c r="F45" s="644"/>
      <c r="G45" s="649"/>
      <c r="H45" s="460" t="s">
        <v>302</v>
      </c>
      <c r="I45" s="87" t="s">
        <v>66</v>
      </c>
    </row>
    <row r="46" spans="1:12" ht="14.25" customHeight="1" x14ac:dyDescent="0.3">
      <c r="A46" s="645"/>
      <c r="B46" s="644"/>
      <c r="C46" s="644"/>
      <c r="D46" s="644"/>
      <c r="E46" s="644"/>
      <c r="F46" s="644"/>
      <c r="G46" s="87" t="s">
        <v>288</v>
      </c>
      <c r="H46" s="461">
        <v>0</v>
      </c>
      <c r="I46" s="133">
        <v>0</v>
      </c>
    </row>
    <row r="47" spans="1:12" ht="14.25" customHeight="1" thickBot="1" x14ac:dyDescent="0.35">
      <c r="A47" s="645"/>
      <c r="B47" s="644"/>
      <c r="C47" s="644"/>
      <c r="D47" s="644"/>
      <c r="E47" s="644"/>
      <c r="F47" s="644"/>
      <c r="I47" s="442"/>
    </row>
    <row r="48" spans="1:12" ht="15" thickBot="1" x14ac:dyDescent="0.35">
      <c r="A48" s="653"/>
      <c r="B48" s="575" t="s">
        <v>303</v>
      </c>
      <c r="C48" s="575"/>
      <c r="D48" s="588"/>
      <c r="E48" s="575" t="s">
        <v>304</v>
      </c>
      <c r="F48" s="588" t="s">
        <v>305</v>
      </c>
      <c r="G48" s="575" t="s">
        <v>306</v>
      </c>
      <c r="H48" s="588" t="s">
        <v>307</v>
      </c>
      <c r="I48" s="575"/>
    </row>
    <row r="49" spans="1:9" ht="14.5" x14ac:dyDescent="0.35">
      <c r="A49" s="645"/>
      <c r="B49" s="85" t="s">
        <v>308</v>
      </c>
      <c r="C49" s="90"/>
      <c r="D49" s="83"/>
      <c r="E49" s="101">
        <f>E24</f>
        <v>0</v>
      </c>
      <c r="F49" s="101">
        <f>E49*D12</f>
        <v>0</v>
      </c>
      <c r="G49" s="101">
        <f>ROUND(F49*1.1,0)</f>
        <v>0</v>
      </c>
      <c r="H49" s="101">
        <f>F49/(1.18*D12)</f>
        <v>0</v>
      </c>
      <c r="I49" s="101">
        <f>ROUND(H49*1.1,0)</f>
        <v>0</v>
      </c>
    </row>
    <row r="50" spans="1:9" ht="14.5" x14ac:dyDescent="0.35">
      <c r="A50" s="645"/>
      <c r="B50" s="85" t="s">
        <v>309</v>
      </c>
      <c r="C50" s="83"/>
      <c r="D50" s="83"/>
      <c r="E50" s="101">
        <f>E25</f>
        <v>0</v>
      </c>
      <c r="F50" s="101">
        <f>E50*E12</f>
        <v>0</v>
      </c>
      <c r="G50" s="101">
        <f>ROUND(F50*1.1,0)</f>
        <v>0</v>
      </c>
      <c r="H50" s="101">
        <f>F50/(1.18*E12)</f>
        <v>0</v>
      </c>
      <c r="I50" s="101">
        <f>ROUND(H50*1.1,0)</f>
        <v>0</v>
      </c>
    </row>
    <row r="51" spans="1:9" ht="14.5" x14ac:dyDescent="0.35">
      <c r="A51" s="645"/>
      <c r="B51" s="85" t="s">
        <v>310</v>
      </c>
      <c r="D51" s="83"/>
      <c r="E51" s="101">
        <f>E26</f>
        <v>6</v>
      </c>
      <c r="F51" s="101">
        <f>E51*F12</f>
        <v>18</v>
      </c>
      <c r="G51" s="101">
        <f>ROUND(F51*1.1,0)</f>
        <v>20</v>
      </c>
      <c r="H51" s="101">
        <f>F51/(1.18*F12)</f>
        <v>5.0847457627118642</v>
      </c>
      <c r="I51" s="101">
        <f>ROUND(H51*1.1,0)</f>
        <v>6</v>
      </c>
    </row>
    <row r="52" spans="1:9" ht="14.5" x14ac:dyDescent="0.35">
      <c r="A52" s="645"/>
      <c r="B52" s="85" t="s">
        <v>311</v>
      </c>
      <c r="C52" s="83"/>
      <c r="D52" s="83"/>
      <c r="E52" s="101">
        <f>E27</f>
        <v>0</v>
      </c>
      <c r="F52" s="101">
        <f>E52*G12</f>
        <v>0</v>
      </c>
      <c r="G52" s="101">
        <f>ROUND(F52*1.1,0)</f>
        <v>0</v>
      </c>
      <c r="H52" s="101">
        <f>F52/(1.18*G12)</f>
        <v>0</v>
      </c>
      <c r="I52" s="101">
        <f>ROUND(H52*1.1,0)</f>
        <v>0</v>
      </c>
    </row>
    <row r="53" spans="1:9" ht="14.25" customHeight="1" thickBot="1" x14ac:dyDescent="0.35">
      <c r="A53" s="654"/>
      <c r="B53" s="124"/>
      <c r="C53" s="124"/>
      <c r="D53" s="124"/>
      <c r="E53" s="124"/>
      <c r="F53" s="124"/>
      <c r="G53" s="124"/>
      <c r="H53" s="153" t="s">
        <v>312</v>
      </c>
      <c r="I53" s="154"/>
    </row>
    <row r="54" spans="1:9" ht="13.5" thickBot="1" x14ac:dyDescent="0.35">
      <c r="A54" s="645"/>
      <c r="B54" s="566" t="s">
        <v>313</v>
      </c>
      <c r="C54" s="566"/>
      <c r="D54" s="566"/>
      <c r="E54" s="566"/>
      <c r="F54" s="566"/>
      <c r="G54" s="566"/>
      <c r="H54" s="566"/>
      <c r="I54" s="566"/>
    </row>
    <row r="55" spans="1:9" ht="14.5" x14ac:dyDescent="0.35">
      <c r="A55" s="645"/>
      <c r="B55" s="85" t="s">
        <v>314</v>
      </c>
      <c r="C55" s="83"/>
      <c r="D55" s="84"/>
      <c r="E55" s="101">
        <f>(ROUND((E30+E31)*1.05,0))*2</f>
        <v>0</v>
      </c>
      <c r="F55" s="85" t="s">
        <v>315</v>
      </c>
      <c r="G55" s="83"/>
      <c r="H55" s="84"/>
      <c r="I55" s="101">
        <f>ROUND((E37*4)*1.05,0)</f>
        <v>0</v>
      </c>
    </row>
    <row r="56" spans="1:9" ht="14.5" x14ac:dyDescent="0.35">
      <c r="A56" s="645"/>
      <c r="B56" s="85" t="s">
        <v>316</v>
      </c>
      <c r="C56" s="83"/>
      <c r="D56" s="84"/>
      <c r="E56" s="101">
        <f>(ROUND((E32+E33+(D67+D66)*4)*1.05,0))*2</f>
        <v>0</v>
      </c>
      <c r="F56" s="666"/>
      <c r="G56" s="667"/>
      <c r="H56" s="667"/>
      <c r="I56" s="668"/>
    </row>
    <row r="57" spans="1:9" ht="13.5" thickBot="1" x14ac:dyDescent="0.35">
      <c r="A57" s="645"/>
      <c r="B57" s="644"/>
      <c r="C57" s="644"/>
      <c r="D57" s="644"/>
      <c r="E57" s="670"/>
      <c r="F57" s="644"/>
      <c r="G57" s="644"/>
      <c r="H57" s="644"/>
      <c r="I57" s="669"/>
    </row>
    <row r="58" spans="1:9" ht="13.5" thickBot="1" x14ac:dyDescent="0.35">
      <c r="A58" s="655"/>
      <c r="B58" s="671"/>
      <c r="C58" s="671"/>
      <c r="D58" s="671"/>
      <c r="E58" s="672"/>
      <c r="F58" s="161"/>
      <c r="G58" s="161"/>
      <c r="H58" s="162"/>
      <c r="I58" s="164"/>
    </row>
    <row r="59" spans="1:9" ht="13.5" thickBot="1" x14ac:dyDescent="0.35">
      <c r="A59" s="653"/>
      <c r="B59" s="575" t="s">
        <v>317</v>
      </c>
      <c r="C59" s="575"/>
      <c r="D59" s="575"/>
      <c r="E59" s="575"/>
      <c r="F59" s="575"/>
      <c r="G59" s="575"/>
      <c r="H59" s="575"/>
      <c r="I59" s="575"/>
    </row>
    <row r="60" spans="1:9" x14ac:dyDescent="0.3">
      <c r="A60" s="645"/>
      <c r="B60" s="409" t="s">
        <v>318</v>
      </c>
      <c r="C60" s="84"/>
      <c r="D60" s="87" t="s">
        <v>319</v>
      </c>
      <c r="E60" s="87" t="s">
        <v>265</v>
      </c>
      <c r="F60" s="89" t="s">
        <v>320</v>
      </c>
      <c r="G60" s="151" t="s">
        <v>321</v>
      </c>
      <c r="H60" s="150"/>
      <c r="I60" s="119"/>
    </row>
    <row r="61" spans="1:9" x14ac:dyDescent="0.3">
      <c r="A61" s="645"/>
      <c r="B61" s="389" t="s">
        <v>322</v>
      </c>
      <c r="C61" s="84" t="s">
        <v>323</v>
      </c>
      <c r="D61" s="149">
        <v>0</v>
      </c>
      <c r="E61" s="103">
        <f>ROUND(((((0.3+0.6+0.3)*D12)*D61)*1.1),1)</f>
        <v>0</v>
      </c>
      <c r="F61" s="103">
        <f>D61*2</f>
        <v>0</v>
      </c>
      <c r="G61" s="155">
        <f>ROUND(E61/(1.18*D12),2)</f>
        <v>0</v>
      </c>
      <c r="H61" s="155">
        <f>ROUND(G61*1.1,0)</f>
        <v>0</v>
      </c>
      <c r="I61" s="119"/>
    </row>
    <row r="62" spans="1:9" x14ac:dyDescent="0.3">
      <c r="A62" s="645"/>
      <c r="B62" s="389" t="s">
        <v>324</v>
      </c>
      <c r="C62" s="84" t="s">
        <v>323</v>
      </c>
      <c r="D62" s="149">
        <v>0</v>
      </c>
      <c r="E62" s="103">
        <f>ROUND(((((0.4+0.8+0.4)*D12)*D62)*1.1),1)</f>
        <v>0</v>
      </c>
      <c r="F62" s="103">
        <f>D62*2</f>
        <v>0</v>
      </c>
      <c r="G62" s="155">
        <f>ROUND(E62/(1.18*D12),2)</f>
        <v>0</v>
      </c>
      <c r="H62" s="155">
        <f>ROUND(G62*1.1,0)</f>
        <v>0</v>
      </c>
      <c r="I62" s="119"/>
    </row>
    <row r="63" spans="1:9" x14ac:dyDescent="0.3">
      <c r="A63" s="645"/>
      <c r="B63" s="389" t="s">
        <v>325</v>
      </c>
      <c r="C63" s="84" t="s">
        <v>326</v>
      </c>
      <c r="D63" s="149">
        <v>0</v>
      </c>
      <c r="E63" s="103">
        <f>ROUND(((((0.3+0.8)*D12)*D63)*1.1),1)</f>
        <v>0</v>
      </c>
      <c r="F63" s="103">
        <f>D63*2</f>
        <v>0</v>
      </c>
      <c r="G63" s="155">
        <f>ROUND(E63/(1.18*D12),2)</f>
        <v>0</v>
      </c>
      <c r="H63" s="155">
        <f>ROUND(G63*1.1,0)</f>
        <v>0</v>
      </c>
      <c r="I63" s="119"/>
    </row>
    <row r="64" spans="1:9" x14ac:dyDescent="0.3">
      <c r="A64" s="645"/>
      <c r="B64" s="389" t="s">
        <v>327</v>
      </c>
      <c r="C64" s="84" t="s">
        <v>326</v>
      </c>
      <c r="D64" s="149">
        <v>0</v>
      </c>
      <c r="E64" s="103">
        <f>ROUND(((((0.5+1)*D12)*D64)*1.1),1)</f>
        <v>0</v>
      </c>
      <c r="F64" s="103">
        <f>D64*2</f>
        <v>0</v>
      </c>
      <c r="G64" s="155">
        <f>ROUND(E64/(1.18*D12),2)</f>
        <v>0</v>
      </c>
      <c r="H64" s="155">
        <f>ROUND(G64*1.1,0)</f>
        <v>0</v>
      </c>
      <c r="I64" s="119"/>
    </row>
    <row r="65" spans="1:15" x14ac:dyDescent="0.3">
      <c r="A65" s="645"/>
      <c r="B65" s="409" t="s">
        <v>328</v>
      </c>
      <c r="C65" s="84"/>
      <c r="D65" s="87" t="s">
        <v>319</v>
      </c>
      <c r="E65" s="87" t="s">
        <v>265</v>
      </c>
      <c r="F65" s="82" t="s">
        <v>320</v>
      </c>
      <c r="G65" s="151" t="s">
        <v>321</v>
      </c>
      <c r="H65" s="152"/>
      <c r="I65" s="119"/>
    </row>
    <row r="66" spans="1:15" x14ac:dyDescent="0.3">
      <c r="A66" s="645"/>
      <c r="B66" s="389" t="s">
        <v>329</v>
      </c>
      <c r="C66" s="84"/>
      <c r="D66" s="149">
        <v>0</v>
      </c>
      <c r="E66" s="156">
        <f>ROUND(((((0.4+0.4+0.4+0.4)*D12)*D66)*1.1),1)</f>
        <v>0</v>
      </c>
      <c r="F66" s="156">
        <f>D66*4</f>
        <v>0</v>
      </c>
      <c r="G66" s="157">
        <f>ROUND(E66/(1.18*D12),2)</f>
        <v>0</v>
      </c>
      <c r="H66" s="157">
        <f>ROUND(G66*1.1,0)</f>
        <v>0</v>
      </c>
      <c r="I66" s="119"/>
    </row>
    <row r="67" spans="1:15" x14ac:dyDescent="0.3">
      <c r="A67" s="645"/>
      <c r="B67" s="389" t="s">
        <v>330</v>
      </c>
      <c r="C67" s="84"/>
      <c r="D67" s="149">
        <v>0</v>
      </c>
      <c r="E67" s="156">
        <f>ROUND(((((0.6+0.6+0.6+0.6)*D12)*D67)*1.1),1)</f>
        <v>0</v>
      </c>
      <c r="F67" s="156">
        <f>D67*4</f>
        <v>0</v>
      </c>
      <c r="G67" s="157">
        <f>ROUND(E67/(1.18*D12),2)</f>
        <v>0</v>
      </c>
      <c r="H67" s="157">
        <f>ROUND(G67*1.1,0)</f>
        <v>0</v>
      </c>
      <c r="I67" s="119"/>
    </row>
    <row r="68" spans="1:15" ht="13.5" customHeight="1" thickBot="1" x14ac:dyDescent="0.4">
      <c r="A68" s="645"/>
      <c r="B68" s="389" t="s">
        <v>331</v>
      </c>
      <c r="C68" s="83"/>
      <c r="D68" s="88"/>
      <c r="E68" s="158">
        <f>SUM(E61:E64,E66:E67)</f>
        <v>0</v>
      </c>
      <c r="F68" s="156">
        <f>SUM(F61:F64,F66:F67)</f>
        <v>0</v>
      </c>
      <c r="G68" s="159">
        <f>ROUND(E68*1.05,0)</f>
        <v>0</v>
      </c>
      <c r="H68" s="160">
        <f>SUM(H61:H67)</f>
        <v>0</v>
      </c>
      <c r="I68" s="119"/>
    </row>
    <row r="69" spans="1:15" ht="13.5" customHeight="1" x14ac:dyDescent="0.3">
      <c r="A69" s="645"/>
      <c r="B69" s="96"/>
      <c r="D69" s="91"/>
      <c r="E69" s="91"/>
      <c r="F69" s="82" t="s">
        <v>332</v>
      </c>
      <c r="G69" s="82" t="s">
        <v>333</v>
      </c>
      <c r="H69" s="82" t="s">
        <v>334</v>
      </c>
      <c r="I69" s="164"/>
    </row>
    <row r="70" spans="1:15" ht="13.5" customHeight="1" thickBot="1" x14ac:dyDescent="0.35">
      <c r="A70" s="645"/>
      <c r="B70" s="96"/>
      <c r="D70" s="91"/>
      <c r="E70" s="91"/>
      <c r="F70" s="91"/>
      <c r="G70" s="91"/>
      <c r="H70" s="141" t="s">
        <v>312</v>
      </c>
      <c r="I70" s="119"/>
    </row>
    <row r="71" spans="1:15" ht="13.5" thickBot="1" x14ac:dyDescent="0.35">
      <c r="A71" s="645"/>
      <c r="B71" s="169"/>
      <c r="D71" s="446" t="s">
        <v>335</v>
      </c>
      <c r="E71" s="456" t="s">
        <v>336</v>
      </c>
      <c r="F71" s="456" t="s">
        <v>337</v>
      </c>
      <c r="G71" s="627" t="s">
        <v>338</v>
      </c>
      <c r="H71" s="575"/>
      <c r="I71" s="170" t="s">
        <v>319</v>
      </c>
    </row>
    <row r="72" spans="1:15" ht="13.5" thickBot="1" x14ac:dyDescent="0.35">
      <c r="A72" s="656"/>
      <c r="B72" s="575" t="s">
        <v>339</v>
      </c>
      <c r="C72" s="575"/>
      <c r="D72" s="451" t="s">
        <v>319</v>
      </c>
      <c r="E72" s="451" t="s">
        <v>319</v>
      </c>
      <c r="F72" s="451" t="s">
        <v>319</v>
      </c>
      <c r="G72" s="445" t="s">
        <v>340</v>
      </c>
      <c r="H72" s="84"/>
      <c r="I72" s="149">
        <v>0</v>
      </c>
      <c r="J72" s="649">
        <f>E36-I72-I73</f>
        <v>0</v>
      </c>
      <c r="L72" s="582"/>
      <c r="M72" s="582"/>
      <c r="N72" s="91"/>
      <c r="O72" s="91"/>
    </row>
    <row r="73" spans="1:15" x14ac:dyDescent="0.3">
      <c r="A73" s="645"/>
      <c r="B73" s="389" t="str">
        <f>'PRICE LIST'!D87</f>
        <v>PUERTA SIMPLE 700x2100mm color azul SICH</v>
      </c>
      <c r="C73" s="84"/>
      <c r="D73" s="149">
        <v>0</v>
      </c>
      <c r="E73" s="149">
        <v>0</v>
      </c>
      <c r="F73" s="149">
        <v>0</v>
      </c>
      <c r="G73" s="445" t="s">
        <v>341</v>
      </c>
      <c r="H73" s="84"/>
      <c r="I73" s="149">
        <v>0</v>
      </c>
      <c r="L73" s="91"/>
      <c r="N73" s="91"/>
      <c r="O73" s="91"/>
    </row>
    <row r="74" spans="1:15" ht="13.5" thickBot="1" x14ac:dyDescent="0.35">
      <c r="A74" s="645"/>
      <c r="B74" s="389" t="str">
        <f>'PRICE LIST'!D88</f>
        <v>PUERTA SIMPLE 800x2100mm color azul SICH</v>
      </c>
      <c r="C74" s="84"/>
      <c r="D74" s="149">
        <v>0</v>
      </c>
      <c r="E74" s="149">
        <v>0</v>
      </c>
      <c r="F74" s="149">
        <v>0</v>
      </c>
      <c r="G74" s="618" t="s">
        <v>342</v>
      </c>
      <c r="H74" s="619"/>
      <c r="I74" s="163">
        <v>0</v>
      </c>
      <c r="L74" s="91"/>
      <c r="N74" s="91"/>
      <c r="O74" s="91"/>
    </row>
    <row r="75" spans="1:15" ht="13.5" thickBot="1" x14ac:dyDescent="0.35">
      <c r="A75" s="645"/>
      <c r="B75" s="389" t="str">
        <f>'PRICE LIST'!D89</f>
        <v>PUERTA SIMPLE 700x2200mm color azul SICH</v>
      </c>
      <c r="C75" s="84"/>
      <c r="D75" s="149">
        <v>0</v>
      </c>
      <c r="E75" s="149">
        <v>0</v>
      </c>
      <c r="F75" s="489">
        <v>0</v>
      </c>
      <c r="G75" s="620" t="s">
        <v>343</v>
      </c>
      <c r="H75" s="621"/>
      <c r="I75" s="408" t="s">
        <v>319</v>
      </c>
      <c r="J75" s="650"/>
      <c r="L75" s="617"/>
      <c r="M75" s="617"/>
      <c r="N75" s="91"/>
      <c r="O75" s="91"/>
    </row>
    <row r="76" spans="1:15" ht="15" thickBot="1" x14ac:dyDescent="0.4">
      <c r="A76" s="645"/>
      <c r="B76" s="405" t="str">
        <f>'PRICE LIST'!D90</f>
        <v>PUERTA SIMPLE  800x2200mm color azul SICH</v>
      </c>
      <c r="C76" s="406"/>
      <c r="D76" s="149">
        <v>0</v>
      </c>
      <c r="E76" s="149">
        <v>0</v>
      </c>
      <c r="F76" s="149">
        <v>0</v>
      </c>
      <c r="G76" s="447" t="s">
        <v>344</v>
      </c>
      <c r="H76" s="457"/>
      <c r="I76" s="458">
        <f>ROUND(((E24*4)+(E25*4)+(E26*2)+(E27*2)+(E28*4)+2*((D61*(0.3+0.6+0.3))+(D62*(0.4+0.8+0.4))+(D63*(0.3+0.8))+(D64*(0.5+1))+(D66*(0.4+0.4+0.4+0.4)+D67*(0.6+0.6+0.6+0.6)))+(E29*D12)+(E30*D12)+(E31*E12))*1.05,0)</f>
        <v>13</v>
      </c>
      <c r="J76" s="651"/>
      <c r="L76" s="582"/>
      <c r="M76" s="582"/>
      <c r="O76" s="439"/>
    </row>
    <row r="77" spans="1:15" ht="15" thickBot="1" x14ac:dyDescent="0.4">
      <c r="A77" s="645"/>
      <c r="B77" s="566" t="s">
        <v>345</v>
      </c>
      <c r="C77" s="566"/>
      <c r="D77" s="87" t="s">
        <v>319</v>
      </c>
      <c r="E77" s="87" t="s">
        <v>319</v>
      </c>
      <c r="F77" s="87" t="s">
        <v>319</v>
      </c>
      <c r="G77" s="447" t="s">
        <v>346</v>
      </c>
      <c r="H77" s="454"/>
      <c r="I77" s="165">
        <f>ROUND(((E32*D12)+(E33*E12))*1.05,0)+(F67*D12)</f>
        <v>0</v>
      </c>
      <c r="J77" s="651"/>
      <c r="O77" s="452"/>
    </row>
    <row r="78" spans="1:15" ht="14.5" x14ac:dyDescent="0.35">
      <c r="A78" s="645"/>
      <c r="B78" s="389" t="str">
        <f>'PRICE LIST'!D93</f>
        <v>PUERTA DOBLE (800+400)x2100mm color azul SICH</v>
      </c>
      <c r="C78" s="84"/>
      <c r="D78" s="149">
        <v>0</v>
      </c>
      <c r="E78" s="149">
        <v>0</v>
      </c>
      <c r="F78" s="149">
        <v>0</v>
      </c>
      <c r="G78" s="407" t="s">
        <v>347</v>
      </c>
      <c r="H78" s="454"/>
      <c r="I78" s="166">
        <f>ROUND(((D73+D74+D75+D76+D78+D79+D80+D81+D84+D85+D86+D87)*D12*2)+(((I49*D12)+(I50*E12)+(I51*F12)+(I52*G12))),0)*1.05*I15</f>
        <v>18.900000000000002</v>
      </c>
      <c r="J78" s="652"/>
      <c r="O78" s="452"/>
    </row>
    <row r="79" spans="1:15" ht="14.5" x14ac:dyDescent="0.35">
      <c r="A79" s="645"/>
      <c r="B79" s="389" t="str">
        <f>'PRICE LIST'!D94</f>
        <v>PUERTA DOBLE (1000+400)x2100mm color azul SICH</v>
      </c>
      <c r="C79" s="84"/>
      <c r="D79" s="149">
        <v>0</v>
      </c>
      <c r="E79" s="149">
        <v>0</v>
      </c>
      <c r="F79" s="149">
        <v>0</v>
      </c>
      <c r="G79" s="447" t="s">
        <v>348</v>
      </c>
      <c r="H79" s="454"/>
      <c r="I79" s="165">
        <f>ROUND((E24+E25+E26+E27)+D61*(0.3+0.6+0.3)+D62*(0.4+0.8+0.4)+D63*(0.3+0.8)+D64*(0.5+1)+D66*(0.4+0.4+0.4+0.4)+D67*(0.6+0.6+0.6+0.6)*1.05,0)</f>
        <v>6</v>
      </c>
      <c r="J79" s="651"/>
      <c r="O79" s="453"/>
    </row>
    <row r="80" spans="1:15" ht="14.5" x14ac:dyDescent="0.35">
      <c r="A80" s="645"/>
      <c r="B80" s="389" t="str">
        <f>'PRICE LIST'!D95</f>
        <v>PUERTA DOBLE (700+400)x2200mm color azul SICH</v>
      </c>
      <c r="C80" s="84"/>
      <c r="D80" s="149">
        <v>0</v>
      </c>
      <c r="E80" s="149">
        <v>0</v>
      </c>
      <c r="F80" s="149">
        <v>0</v>
      </c>
      <c r="G80" s="466" t="s">
        <v>349</v>
      </c>
      <c r="H80" s="454"/>
      <c r="I80" s="165">
        <f>ROUND((E26*1.1),0)</f>
        <v>7</v>
      </c>
      <c r="J80" s="651"/>
      <c r="O80" s="452"/>
    </row>
    <row r="81" spans="1:15" ht="15" thickBot="1" x14ac:dyDescent="0.4">
      <c r="A81" s="645"/>
      <c r="B81" s="389" t="str">
        <f>'PRICE LIST'!D96</f>
        <v>PUERTA DOBLE (1000+400)x2200mm color azul SICH</v>
      </c>
      <c r="C81" s="84"/>
      <c r="D81" s="149">
        <v>0</v>
      </c>
      <c r="E81" s="149">
        <v>0</v>
      </c>
      <c r="F81" s="489">
        <v>0</v>
      </c>
      <c r="G81" s="467" t="s">
        <v>350</v>
      </c>
      <c r="H81" s="454"/>
      <c r="I81" s="171">
        <v>0</v>
      </c>
      <c r="J81" s="649"/>
      <c r="O81" s="452"/>
    </row>
    <row r="82" spans="1:15" ht="13.5" thickBot="1" x14ac:dyDescent="0.35">
      <c r="A82" s="645"/>
      <c r="B82" s="100"/>
      <c r="C82" s="100"/>
      <c r="D82" s="449"/>
      <c r="E82" s="91"/>
      <c r="F82" s="91"/>
      <c r="G82" s="566" t="s">
        <v>351</v>
      </c>
      <c r="H82" s="575"/>
      <c r="I82" s="408" t="s">
        <v>319</v>
      </c>
      <c r="J82" s="649"/>
      <c r="O82" s="91"/>
    </row>
    <row r="83" spans="1:15" x14ac:dyDescent="0.3">
      <c r="A83" s="645"/>
      <c r="B83" s="624" t="s">
        <v>352</v>
      </c>
      <c r="C83" s="625"/>
      <c r="D83" s="626"/>
      <c r="E83" s="91"/>
      <c r="F83" s="91"/>
      <c r="G83" s="447" t="s">
        <v>353</v>
      </c>
      <c r="H83" s="83"/>
      <c r="I83" s="167">
        <v>0</v>
      </c>
      <c r="J83" s="649">
        <f>H34*10/60</f>
        <v>0</v>
      </c>
      <c r="L83" s="582"/>
      <c r="M83" s="582"/>
      <c r="O83" s="439"/>
    </row>
    <row r="84" spans="1:15" x14ac:dyDescent="0.3">
      <c r="A84" s="657"/>
      <c r="B84" s="389" t="str">
        <f>'PRICE LIST'!D153</f>
        <v>PUERTA ENROLLABLE AUTOREPARABLE DE LABORATORIO 1500X2500 + SEMÁFORO</v>
      </c>
      <c r="C84" s="84"/>
      <c r="D84" s="149">
        <v>0</v>
      </c>
      <c r="E84" s="459"/>
      <c r="F84" s="459"/>
      <c r="G84" s="447" t="s">
        <v>354</v>
      </c>
      <c r="H84" s="83"/>
      <c r="I84" s="167">
        <v>0</v>
      </c>
      <c r="J84" s="649"/>
      <c r="O84" s="91"/>
    </row>
    <row r="85" spans="1:15" x14ac:dyDescent="0.3">
      <c r="A85" s="645"/>
      <c r="B85" s="389" t="str">
        <f>'PRICE LIST'!D154</f>
        <v>PUERTA ENROLLABLE AUTOREPARABLE DE LABORATORIO 2000X2500 + SEMÁFORO</v>
      </c>
      <c r="C85" s="84"/>
      <c r="D85" s="149">
        <v>0</v>
      </c>
      <c r="E85" s="459"/>
      <c r="F85" s="459"/>
      <c r="G85" s="407" t="s">
        <v>355</v>
      </c>
      <c r="H85" s="89"/>
      <c r="I85" s="171">
        <v>0</v>
      </c>
      <c r="J85" s="649"/>
      <c r="O85" s="91"/>
    </row>
    <row r="86" spans="1:15" x14ac:dyDescent="0.3">
      <c r="A86" s="645"/>
      <c r="B86" s="389" t="str">
        <f>'PRICE LIST'!D155</f>
        <v>PUERTA ENROLLABLE AUTOREPARABLE DE LABORATORIO 2000X3000 + SEMÁFORO</v>
      </c>
      <c r="C86" s="84"/>
      <c r="D86" s="163">
        <v>0</v>
      </c>
      <c r="E86" s="459"/>
      <c r="F86" s="459"/>
      <c r="G86" s="447" t="s">
        <v>356</v>
      </c>
      <c r="H86" s="83"/>
      <c r="I86" s="171">
        <v>0</v>
      </c>
      <c r="J86" s="649">
        <f>H34*10/40</f>
        <v>0</v>
      </c>
      <c r="O86" s="91"/>
    </row>
    <row r="87" spans="1:15" ht="13.5" thickBot="1" x14ac:dyDescent="0.35">
      <c r="A87" s="657"/>
      <c r="B87" s="389" t="str">
        <f>'PRICE LIST'!D156</f>
        <v>PUERTA ENROLLABLE AUTOREPARABLE DE LABORATORIO 2500X2600 + SEMÁFORO</v>
      </c>
      <c r="C87" s="84"/>
      <c r="D87" s="149">
        <v>0</v>
      </c>
      <c r="E87" s="459"/>
      <c r="F87" s="459"/>
      <c r="G87" s="448" t="s">
        <v>357</v>
      </c>
      <c r="H87" s="399"/>
      <c r="I87" s="455">
        <v>0</v>
      </c>
      <c r="J87" s="649"/>
      <c r="O87" s="91"/>
    </row>
    <row r="88" spans="1:15" ht="13.5" thickBot="1" x14ac:dyDescent="0.35">
      <c r="A88" s="644"/>
      <c r="B88" s="100"/>
      <c r="C88" s="100"/>
      <c r="D88" s="450"/>
      <c r="E88" s="91"/>
      <c r="F88" s="91"/>
      <c r="G88" s="91"/>
      <c r="H88" s="91"/>
      <c r="I88" s="394"/>
      <c r="J88" s="649"/>
      <c r="L88" s="96"/>
      <c r="M88" s="91"/>
      <c r="N88" s="91"/>
      <c r="O88" s="91"/>
    </row>
    <row r="89" spans="1:15" ht="13.5" thickBot="1" x14ac:dyDescent="0.35">
      <c r="A89" s="645"/>
      <c r="B89" s="575" t="s">
        <v>358</v>
      </c>
      <c r="C89" s="575"/>
      <c r="D89" s="86" t="s">
        <v>319</v>
      </c>
      <c r="E89" s="86" t="s">
        <v>319</v>
      </c>
      <c r="F89" s="91"/>
      <c r="I89" s="394"/>
      <c r="J89" s="649"/>
    </row>
    <row r="90" spans="1:15" x14ac:dyDescent="0.3">
      <c r="A90" s="645"/>
      <c r="B90" s="577" t="s">
        <v>359</v>
      </c>
      <c r="C90" s="578"/>
      <c r="D90" s="149">
        <v>0</v>
      </c>
      <c r="E90" s="112">
        <v>0</v>
      </c>
      <c r="F90" s="459"/>
      <c r="I90" s="394"/>
    </row>
    <row r="91" spans="1:15" x14ac:dyDescent="0.3">
      <c r="A91" s="645"/>
      <c r="B91" s="628" t="s">
        <v>360</v>
      </c>
      <c r="C91" s="629"/>
      <c r="D91" s="149">
        <v>0</v>
      </c>
      <c r="E91" s="112">
        <v>0</v>
      </c>
      <c r="F91" s="459"/>
      <c r="I91" s="394"/>
    </row>
    <row r="92" spans="1:15" x14ac:dyDescent="0.3">
      <c r="A92" s="645"/>
      <c r="B92" s="582"/>
      <c r="C92" s="582"/>
      <c r="D92" s="91"/>
      <c r="E92" s="459"/>
      <c r="F92" s="459"/>
      <c r="I92" s="394"/>
    </row>
    <row r="93" spans="1:15" x14ac:dyDescent="0.3">
      <c r="A93" s="645"/>
      <c r="B93" s="582"/>
      <c r="C93" s="582"/>
      <c r="D93" s="91"/>
      <c r="E93" s="459"/>
      <c r="F93" s="459"/>
      <c r="I93" s="394"/>
    </row>
    <row r="94" spans="1:15" ht="13.5" thickBot="1" x14ac:dyDescent="0.35">
      <c r="A94" s="645"/>
      <c r="I94" s="394"/>
    </row>
    <row r="95" spans="1:15" ht="13.5" thickBot="1" x14ac:dyDescent="0.35">
      <c r="A95" s="653"/>
      <c r="B95" s="566" t="s">
        <v>161</v>
      </c>
      <c r="C95" s="566"/>
      <c r="D95" s="566"/>
      <c r="E95" s="566"/>
      <c r="F95" s="566"/>
      <c r="G95" s="566"/>
      <c r="H95" s="566"/>
      <c r="I95" s="566"/>
    </row>
    <row r="96" spans="1:15" x14ac:dyDescent="0.3">
      <c r="A96" s="645"/>
      <c r="B96" s="569" t="s">
        <v>361</v>
      </c>
      <c r="C96" s="570"/>
      <c r="D96" s="573">
        <v>0</v>
      </c>
      <c r="E96" s="172"/>
      <c r="F96" s="85" t="s">
        <v>362</v>
      </c>
      <c r="G96" s="83"/>
      <c r="H96" s="84"/>
      <c r="I96" s="401">
        <v>0</v>
      </c>
    </row>
    <row r="97" spans="1:9" x14ac:dyDescent="0.3">
      <c r="A97" s="645"/>
      <c r="B97" s="571"/>
      <c r="C97" s="572"/>
      <c r="D97" s="574"/>
      <c r="E97" s="172"/>
      <c r="F97" s="85" t="s">
        <v>363</v>
      </c>
      <c r="G97" s="83"/>
      <c r="H97" s="84"/>
      <c r="I97" s="401">
        <v>0</v>
      </c>
    </row>
    <row r="98" spans="1:9" x14ac:dyDescent="0.3">
      <c r="A98" s="645"/>
      <c r="B98" s="556" t="s">
        <v>770</v>
      </c>
      <c r="C98" s="557"/>
      <c r="D98" s="102">
        <v>0</v>
      </c>
      <c r="E98" s="172"/>
      <c r="F98" s="85" t="s">
        <v>364</v>
      </c>
      <c r="G98" s="83"/>
      <c r="H98" s="84"/>
      <c r="I98" s="401">
        <v>0</v>
      </c>
    </row>
    <row r="99" spans="1:9" ht="13.5" thickBot="1" x14ac:dyDescent="0.35">
      <c r="A99" s="645"/>
      <c r="B99" s="556" t="s">
        <v>365</v>
      </c>
      <c r="C99" s="576"/>
      <c r="D99" s="149">
        <v>0</v>
      </c>
      <c r="E99" s="172"/>
      <c r="F99" s="443"/>
      <c r="I99" s="444"/>
    </row>
    <row r="100" spans="1:9" ht="13.5" thickBot="1" x14ac:dyDescent="0.35">
      <c r="A100" s="644"/>
      <c r="B100" s="402"/>
      <c r="E100" s="394"/>
      <c r="F100" s="575" t="s">
        <v>366</v>
      </c>
      <c r="G100" s="575"/>
      <c r="H100" s="408"/>
      <c r="I100" s="408" t="s">
        <v>367</v>
      </c>
    </row>
    <row r="101" spans="1:9" x14ac:dyDescent="0.3">
      <c r="A101" s="644"/>
      <c r="B101" s="402"/>
      <c r="E101" s="396"/>
      <c r="F101" s="614" t="s">
        <v>368</v>
      </c>
      <c r="G101" s="615"/>
      <c r="H101" s="84"/>
      <c r="I101" s="401">
        <v>0</v>
      </c>
    </row>
    <row r="102" spans="1:9" x14ac:dyDescent="0.3">
      <c r="A102" s="644"/>
      <c r="B102" s="402"/>
      <c r="F102" s="614" t="s">
        <v>369</v>
      </c>
      <c r="G102" s="615"/>
      <c r="H102" s="84"/>
      <c r="I102" s="401">
        <v>0</v>
      </c>
    </row>
    <row r="103" spans="1:9" x14ac:dyDescent="0.3">
      <c r="A103" s="644"/>
      <c r="B103" s="402"/>
      <c r="F103" s="614" t="s">
        <v>370</v>
      </c>
      <c r="G103" s="615"/>
      <c r="H103" s="84"/>
      <c r="I103" s="401">
        <v>0</v>
      </c>
    </row>
    <row r="104" spans="1:9" x14ac:dyDescent="0.3">
      <c r="A104" s="644"/>
      <c r="B104" s="402"/>
      <c r="F104" s="614" t="s">
        <v>371</v>
      </c>
      <c r="G104" s="615"/>
      <c r="H104" s="84"/>
      <c r="I104" s="401">
        <v>0</v>
      </c>
    </row>
    <row r="105" spans="1:9" x14ac:dyDescent="0.3">
      <c r="A105" s="644"/>
      <c r="B105" s="402"/>
      <c r="F105" s="614" t="s">
        <v>372</v>
      </c>
      <c r="G105" s="615"/>
      <c r="H105" s="84"/>
      <c r="I105" s="401">
        <v>0</v>
      </c>
    </row>
    <row r="106" spans="1:9" x14ac:dyDescent="0.3">
      <c r="A106" s="644"/>
      <c r="B106" s="402"/>
      <c r="C106" s="100"/>
      <c r="D106" s="100"/>
      <c r="E106" s="100"/>
      <c r="F106" s="614" t="s">
        <v>373</v>
      </c>
      <c r="G106" s="615"/>
      <c r="H106" s="84"/>
      <c r="I106" s="401">
        <v>0</v>
      </c>
    </row>
    <row r="107" spans="1:9" ht="18.649999999999999" customHeight="1" thickBot="1" x14ac:dyDescent="0.35">
      <c r="A107" s="644"/>
      <c r="B107" s="403"/>
      <c r="C107" s="404"/>
      <c r="D107" s="404"/>
      <c r="E107" s="404"/>
      <c r="F107" s="608" t="s">
        <v>374</v>
      </c>
      <c r="G107" s="609"/>
      <c r="H107" s="609"/>
      <c r="I107" s="610"/>
    </row>
    <row r="108" spans="1:9" ht="13.5" thickBot="1" x14ac:dyDescent="0.35">
      <c r="A108" s="644"/>
      <c r="D108" s="173"/>
      <c r="F108" s="91"/>
      <c r="G108" s="91"/>
      <c r="H108" s="91"/>
      <c r="I108" s="394"/>
    </row>
    <row r="109" spans="1:9" ht="13.5" thickBot="1" x14ac:dyDescent="0.35">
      <c r="A109" s="653"/>
      <c r="B109" s="575" t="s">
        <v>375</v>
      </c>
      <c r="C109" s="575"/>
      <c r="D109" s="575"/>
      <c r="E109" s="575"/>
      <c r="F109" s="611" t="s">
        <v>376</v>
      </c>
      <c r="G109" s="612"/>
      <c r="H109" s="612"/>
      <c r="I109" s="613"/>
    </row>
    <row r="110" spans="1:9" ht="13.5" thickBot="1" x14ac:dyDescent="0.35">
      <c r="A110" s="644"/>
      <c r="B110" s="567" t="s">
        <v>377</v>
      </c>
      <c r="C110" s="568"/>
      <c r="D110" s="392">
        <f>SUM(G49:G52)</f>
        <v>20</v>
      </c>
      <c r="E110" s="391" t="s">
        <v>265</v>
      </c>
      <c r="F110" s="392">
        <f>D110/510</f>
        <v>3.9215686274509803E-2</v>
      </c>
      <c r="G110" s="393" t="s">
        <v>378</v>
      </c>
      <c r="H110" s="393"/>
      <c r="I110" s="390"/>
    </row>
    <row r="111" spans="1:9" x14ac:dyDescent="0.3">
      <c r="A111" s="644"/>
      <c r="B111" s="614" t="s">
        <v>379</v>
      </c>
      <c r="C111" s="616"/>
      <c r="D111" s="392">
        <f>SUM(I43+I32)</f>
        <v>0</v>
      </c>
      <c r="E111" s="180" t="s">
        <v>265</v>
      </c>
      <c r="F111" s="187">
        <f>D111/421</f>
        <v>0</v>
      </c>
      <c r="G111" s="96" t="s">
        <v>380</v>
      </c>
      <c r="H111" s="96"/>
      <c r="I111" s="394"/>
    </row>
    <row r="112" spans="1:9" ht="13.5" thickBot="1" x14ac:dyDescent="0.35">
      <c r="A112" s="644"/>
      <c r="B112" s="395"/>
      <c r="C112" s="181"/>
      <c r="D112" s="181"/>
      <c r="E112" s="181"/>
      <c r="F112" s="83"/>
      <c r="G112" s="91"/>
      <c r="H112" s="91"/>
      <c r="I112" s="396"/>
    </row>
    <row r="113" spans="1:9" ht="13.5" thickBot="1" x14ac:dyDescent="0.35">
      <c r="A113" s="644"/>
      <c r="B113" s="614" t="s">
        <v>381</v>
      </c>
      <c r="C113" s="616"/>
      <c r="D113" s="392">
        <f>(D73+D74+D75+D76)*2.2</f>
        <v>0</v>
      </c>
      <c r="E113" s="180" t="s">
        <v>265</v>
      </c>
      <c r="F113" s="187">
        <f>D113/421</f>
        <v>0</v>
      </c>
      <c r="G113" s="96" t="s">
        <v>382</v>
      </c>
      <c r="H113" s="96"/>
      <c r="I113" s="394"/>
    </row>
    <row r="114" spans="1:9" x14ac:dyDescent="0.3">
      <c r="A114" s="644"/>
      <c r="B114" s="614" t="s">
        <v>383</v>
      </c>
      <c r="C114" s="616"/>
      <c r="D114" s="392">
        <f>(D78+D79+D80+D81)*3</f>
        <v>0</v>
      </c>
      <c r="E114" s="180" t="s">
        <v>265</v>
      </c>
      <c r="F114" s="187">
        <f>D114/421</f>
        <v>0</v>
      </c>
      <c r="G114" s="96" t="s">
        <v>384</v>
      </c>
      <c r="H114" s="96"/>
      <c r="I114" s="394"/>
    </row>
    <row r="115" spans="1:9" x14ac:dyDescent="0.3">
      <c r="A115" s="644"/>
      <c r="B115" s="395"/>
      <c r="C115" s="176"/>
      <c r="D115" s="179"/>
      <c r="E115" s="178"/>
      <c r="F115" s="177"/>
      <c r="G115" s="96"/>
      <c r="H115" s="96"/>
      <c r="I115" s="394"/>
    </row>
    <row r="116" spans="1:9" x14ac:dyDescent="0.3">
      <c r="A116" s="644"/>
      <c r="B116" s="395"/>
      <c r="C116" s="176"/>
      <c r="D116" s="176"/>
      <c r="E116" s="175"/>
      <c r="F116" s="187">
        <f>F110+F111+F113+F114</f>
        <v>3.9215686274509803E-2</v>
      </c>
      <c r="G116" s="397" t="s">
        <v>385</v>
      </c>
      <c r="H116" s="96"/>
      <c r="I116" s="394"/>
    </row>
    <row r="117" spans="1:9" x14ac:dyDescent="0.3">
      <c r="A117" s="644"/>
      <c r="B117" s="395"/>
      <c r="C117" s="176"/>
      <c r="D117" s="175"/>
      <c r="E117" s="175"/>
      <c r="F117" s="82" t="s">
        <v>386</v>
      </c>
      <c r="G117" s="174" t="s">
        <v>387</v>
      </c>
      <c r="H117" s="174" t="s">
        <v>388</v>
      </c>
      <c r="I117" s="398"/>
    </row>
    <row r="118" spans="1:9" ht="15" customHeight="1" thickBot="1" x14ac:dyDescent="0.35">
      <c r="A118" s="644"/>
      <c r="B118" s="604" t="s">
        <v>389</v>
      </c>
      <c r="C118" s="605"/>
      <c r="D118" s="605"/>
      <c r="E118" s="605"/>
      <c r="F118" s="187">
        <f>ROUNDUP(F116,0)</f>
        <v>1</v>
      </c>
      <c r="G118" s="168">
        <v>1500</v>
      </c>
      <c r="H118" s="227">
        <f>F118*G118</f>
        <v>1500</v>
      </c>
      <c r="I118" s="396"/>
    </row>
    <row r="119" spans="1:9" ht="13.5" thickBot="1" x14ac:dyDescent="0.35">
      <c r="A119" s="644"/>
      <c r="B119" s="606"/>
      <c r="C119" s="607"/>
      <c r="D119" s="607"/>
      <c r="E119" s="607"/>
      <c r="F119" s="124"/>
      <c r="G119" s="399"/>
      <c r="H119" s="399"/>
      <c r="I119" s="400"/>
    </row>
    <row r="120" spans="1:9" s="644" customFormat="1" x14ac:dyDescent="0.3">
      <c r="F120" s="649"/>
      <c r="G120" s="649"/>
      <c r="H120" s="649"/>
      <c r="I120" s="649"/>
    </row>
    <row r="121" spans="1:9" s="644" customFormat="1" x14ac:dyDescent="0.3"/>
    <row r="122" spans="1:9" s="644" customFormat="1" x14ac:dyDescent="0.3"/>
    <row r="123" spans="1:9" s="644" customFormat="1" x14ac:dyDescent="0.3"/>
    <row r="124" spans="1:9" s="644" customFormat="1" x14ac:dyDescent="0.3"/>
    <row r="125" spans="1:9" s="644" customFormat="1" x14ac:dyDescent="0.3"/>
    <row r="126" spans="1:9" s="644" customFormat="1" x14ac:dyDescent="0.3"/>
    <row r="127" spans="1:9" s="644" customFormat="1" x14ac:dyDescent="0.3"/>
    <row r="128" spans="1:9" s="644" customFormat="1" x14ac:dyDescent="0.3"/>
    <row r="129" s="644" customFormat="1" x14ac:dyDescent="0.3"/>
    <row r="130" s="644" customFormat="1" x14ac:dyDescent="0.3"/>
    <row r="131" s="644" customFormat="1" x14ac:dyDescent="0.3"/>
    <row r="132" s="644" customFormat="1" x14ac:dyDescent="0.3"/>
    <row r="133" s="644" customFormat="1" x14ac:dyDescent="0.3"/>
    <row r="134" s="644" customFormat="1" x14ac:dyDescent="0.3"/>
    <row r="135" s="644" customFormat="1" x14ac:dyDescent="0.3"/>
    <row r="136" s="644" customFormat="1" x14ac:dyDescent="0.3"/>
    <row r="137" s="644" customFormat="1" x14ac:dyDescent="0.3"/>
    <row r="138" s="644" customFormat="1" x14ac:dyDescent="0.3"/>
  </sheetData>
  <mergeCells count="70">
    <mergeCell ref="B21:C21"/>
    <mergeCell ref="D21:E21"/>
    <mergeCell ref="B83:D83"/>
    <mergeCell ref="H95:I95"/>
    <mergeCell ref="B93:C93"/>
    <mergeCell ref="F95:G95"/>
    <mergeCell ref="H54:I54"/>
    <mergeCell ref="H59:I59"/>
    <mergeCell ref="G71:H71"/>
    <mergeCell ref="B91:C91"/>
    <mergeCell ref="B92:C92"/>
    <mergeCell ref="F54:G54"/>
    <mergeCell ref="F59:G59"/>
    <mergeCell ref="B95:C95"/>
    <mergeCell ref="B22:C22"/>
    <mergeCell ref="D22:E22"/>
    <mergeCell ref="L72:M72"/>
    <mergeCell ref="L75:M75"/>
    <mergeCell ref="L76:M76"/>
    <mergeCell ref="L83:M83"/>
    <mergeCell ref="G74:H74"/>
    <mergeCell ref="G75:H75"/>
    <mergeCell ref="G82:H82"/>
    <mergeCell ref="B118:E119"/>
    <mergeCell ref="F107:I107"/>
    <mergeCell ref="F100:G100"/>
    <mergeCell ref="D109:E109"/>
    <mergeCell ref="F109:I109"/>
    <mergeCell ref="F103:G103"/>
    <mergeCell ref="F104:G104"/>
    <mergeCell ref="F105:G105"/>
    <mergeCell ref="F106:G106"/>
    <mergeCell ref="B109:C109"/>
    <mergeCell ref="B111:C111"/>
    <mergeCell ref="B113:C113"/>
    <mergeCell ref="B114:C114"/>
    <mergeCell ref="F101:G101"/>
    <mergeCell ref="F102:G102"/>
    <mergeCell ref="B2:I2"/>
    <mergeCell ref="B3:B6"/>
    <mergeCell ref="H23:I23"/>
    <mergeCell ref="B23:D23"/>
    <mergeCell ref="H48:I48"/>
    <mergeCell ref="G7:H7"/>
    <mergeCell ref="D7:E7"/>
    <mergeCell ref="F48:G48"/>
    <mergeCell ref="B14:C14"/>
    <mergeCell ref="B18:C18"/>
    <mergeCell ref="B15:C15"/>
    <mergeCell ref="D19:E19"/>
    <mergeCell ref="D20:E20"/>
    <mergeCell ref="D14:E14"/>
    <mergeCell ref="B48:C48"/>
    <mergeCell ref="D48:E48"/>
    <mergeCell ref="B98:C98"/>
    <mergeCell ref="D15:E18"/>
    <mergeCell ref="B20:C20"/>
    <mergeCell ref="D95:E95"/>
    <mergeCell ref="B110:C110"/>
    <mergeCell ref="B96:C97"/>
    <mergeCell ref="D96:D97"/>
    <mergeCell ref="B72:C72"/>
    <mergeCell ref="B77:C77"/>
    <mergeCell ref="B54:C54"/>
    <mergeCell ref="D54:E54"/>
    <mergeCell ref="B59:C59"/>
    <mergeCell ref="D59:E59"/>
    <mergeCell ref="B99:C99"/>
    <mergeCell ref="B89:C89"/>
    <mergeCell ref="B90:C90"/>
  </mergeCells>
  <phoneticPr fontId="20" type="noConversion"/>
  <printOptions horizontalCentered="1"/>
  <pageMargins left="0.6" right="0.21" top="0.37" bottom="0.19685039370078741" header="0.26" footer="0"/>
  <pageSetup paperSize="9" scale="48" orientation="portrait" r:id="rId1"/>
  <headerFooter alignWithMargins="0"/>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14856EE1-B775-4A70-BDD1-B07C391E2E44}">
          <x14:formula1>
            <xm:f>'PRICE LIST'!$D$9:$D$14</xm:f>
          </x14:formula1>
          <xm:sqref>D15</xm:sqref>
        </x14:dataValidation>
        <x14:dataValidation type="list" allowBlank="1" showInputMessage="1" showErrorMessage="1" xr:uid="{84E92D01-33D7-47A6-A94A-EE3122B95F9A}">
          <x14:formula1>
            <xm:f>'PRICE LIST'!$D$17:$D$22</xm:f>
          </x14:formula1>
          <xm:sqref>D19:E20</xm:sqref>
        </x14:dataValidation>
        <x14:dataValidation type="list" allowBlank="1" showInputMessage="1" showErrorMessage="1" xr:uid="{674CB9FB-A992-498A-B922-217E5103F733}">
          <x14:formula1>
            <xm:f>'PRECIO DEL METRAJE'!$D$37:$D$41</xm:f>
          </x14:formula1>
          <xm:sqref>D22:E22</xm:sqref>
        </x14:dataValidation>
        <x14:dataValidation type="list" allowBlank="1" showInputMessage="1" showErrorMessage="1" xr:uid="{655AFADC-B048-437E-A375-1E9406879711}">
          <x14:formula1>
            <xm:f>'PRECIO DEL METRAJE'!$D$27:$D$31</xm:f>
          </x14:formula1>
          <xm:sqref>D21:E21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A80658-2FF2-4F9E-B008-3DF7B145E0F4}">
  <sheetPr filterMode="1"/>
  <dimension ref="A1:AM251"/>
  <sheetViews>
    <sheetView topLeftCell="B1" zoomScale="85" zoomScaleNormal="85" workbookViewId="0">
      <selection activeCell="E11" sqref="E11"/>
    </sheetView>
  </sheetViews>
  <sheetFormatPr baseColWidth="10" defaultColWidth="11.36328125" defaultRowHeight="12.5" x14ac:dyDescent="0.25"/>
  <cols>
    <col min="1" max="1" width="5.36328125" style="314" customWidth="1"/>
    <col min="2" max="2" width="20.81640625" style="314" customWidth="1"/>
    <col min="3" max="3" width="21.54296875" style="314" customWidth="1"/>
    <col min="4" max="4" width="83.36328125" style="314" bestFit="1" customWidth="1"/>
    <col min="5" max="5" width="14.26953125" style="314" customWidth="1"/>
    <col min="6" max="6" width="7.1796875" style="315" customWidth="1"/>
    <col min="7" max="7" width="15.54296875" style="315" customWidth="1"/>
    <col min="8" max="8" width="17.36328125" style="526" customWidth="1"/>
    <col min="9" max="9" width="15" style="526" bestFit="1" customWidth="1"/>
    <col min="10" max="10" width="1.36328125" style="316" customWidth="1"/>
    <col min="11" max="11" width="16.1796875" style="316" customWidth="1"/>
    <col min="12" max="12" width="1.36328125" style="316" customWidth="1"/>
    <col min="13" max="13" width="15" style="316" bestFit="1" customWidth="1"/>
    <col min="14" max="14" width="14" style="316" customWidth="1"/>
    <col min="15" max="15" width="6.81640625" style="316" customWidth="1"/>
    <col min="16" max="17" width="14" style="316" customWidth="1"/>
    <col min="18" max="18" width="1.81640625" style="316" customWidth="1"/>
    <col min="19" max="20" width="14.54296875" style="316" customWidth="1"/>
    <col min="21" max="21" width="4" style="316" customWidth="1"/>
    <col min="22" max="22" width="9.36328125" style="316" customWidth="1"/>
    <col min="23" max="23" width="16.36328125" style="316" customWidth="1"/>
    <col min="24" max="24" width="15.81640625" style="316" customWidth="1"/>
    <col min="25" max="25" width="4.36328125" style="316" customWidth="1"/>
    <col min="26" max="26" width="13.36328125" style="316" customWidth="1"/>
    <col min="27" max="27" width="16.1796875" style="316" customWidth="1"/>
    <col min="28" max="28" width="2.81640625" style="314" customWidth="1"/>
    <col min="29" max="29" width="7.54296875" style="315" bestFit="1" customWidth="1"/>
    <col min="30" max="30" width="13.81640625" style="315" customWidth="1"/>
    <col min="31" max="31" width="11.36328125" style="314"/>
    <col min="32" max="33" width="13.36328125" style="314" bestFit="1" customWidth="1"/>
    <col min="34" max="16384" width="11.36328125" style="314"/>
  </cols>
  <sheetData>
    <row r="1" spans="1:33" ht="31.5" customHeight="1" thickBot="1" x14ac:dyDescent="0.3">
      <c r="H1" s="385" t="s">
        <v>925</v>
      </c>
      <c r="K1" s="632" t="s">
        <v>390</v>
      </c>
      <c r="L1" s="632"/>
      <c r="M1" s="632"/>
      <c r="N1" s="632"/>
      <c r="S1" s="633" t="s">
        <v>391</v>
      </c>
      <c r="T1" s="633"/>
      <c r="W1" s="633" t="s">
        <v>392</v>
      </c>
      <c r="X1" s="633"/>
    </row>
    <row r="2" spans="1:33" ht="56.25" customHeight="1" thickBot="1" x14ac:dyDescent="0.35">
      <c r="B2" s="630" t="s">
        <v>393</v>
      </c>
      <c r="C2" s="631"/>
      <c r="D2" s="631"/>
      <c r="E2" s="383" t="s">
        <v>394</v>
      </c>
      <c r="F2" s="384"/>
      <c r="G2" s="385" t="s">
        <v>395</v>
      </c>
      <c r="H2" s="515">
        <v>1.6</v>
      </c>
      <c r="I2" s="387"/>
      <c r="J2" s="317"/>
      <c r="K2" s="308" t="s">
        <v>396</v>
      </c>
      <c r="L2" s="309"/>
      <c r="M2" s="310">
        <v>2</v>
      </c>
      <c r="N2" s="375"/>
      <c r="O2" s="311"/>
      <c r="P2"/>
      <c r="Q2" s="308" t="s">
        <v>397</v>
      </c>
      <c r="R2" s="315"/>
      <c r="S2"/>
      <c r="T2" s="310">
        <v>1.45</v>
      </c>
      <c r="V2" s="315"/>
      <c r="W2"/>
      <c r="X2"/>
      <c r="Y2" s="315"/>
      <c r="Z2" s="315"/>
      <c r="AA2" s="315"/>
      <c r="AB2" s="315"/>
    </row>
    <row r="3" spans="1:33" ht="7.5" customHeight="1" x14ac:dyDescent="0.25">
      <c r="V3" s="315"/>
      <c r="Y3" s="315"/>
      <c r="Z3" s="315"/>
      <c r="AA3" s="315"/>
      <c r="AB3" s="315"/>
    </row>
    <row r="4" spans="1:33" ht="54.75" customHeight="1" x14ac:dyDescent="0.3">
      <c r="B4" s="318" t="s">
        <v>7</v>
      </c>
      <c r="C4" s="318"/>
      <c r="D4" s="318" t="s">
        <v>8</v>
      </c>
      <c r="E4" s="319" t="s">
        <v>398</v>
      </c>
      <c r="F4" s="320" t="s">
        <v>10</v>
      </c>
      <c r="G4" s="320"/>
      <c r="H4" s="321" t="s">
        <v>399</v>
      </c>
      <c r="I4" s="321" t="s">
        <v>400</v>
      </c>
      <c r="J4" s="322"/>
      <c r="K4" s="323" t="s">
        <v>401</v>
      </c>
      <c r="L4" s="322"/>
      <c r="M4" s="324" t="s">
        <v>402</v>
      </c>
      <c r="N4" s="323"/>
      <c r="O4" s="322"/>
      <c r="P4" s="325" t="s">
        <v>403</v>
      </c>
      <c r="Q4" s="325" t="s">
        <v>404</v>
      </c>
      <c r="R4" s="322"/>
      <c r="S4" s="324" t="s">
        <v>405</v>
      </c>
      <c r="T4" s="324" t="s">
        <v>406</v>
      </c>
      <c r="U4" s="326"/>
      <c r="V4" s="315"/>
      <c r="W4" s="324" t="s">
        <v>407</v>
      </c>
      <c r="X4" s="324" t="s">
        <v>408</v>
      </c>
      <c r="Y4" s="315"/>
      <c r="Z4" s="315"/>
      <c r="AA4" s="315"/>
      <c r="AB4" s="315"/>
    </row>
    <row r="5" spans="1:33" ht="16.5" customHeight="1" x14ac:dyDescent="0.3">
      <c r="B5" s="312" t="s">
        <v>27</v>
      </c>
      <c r="C5" s="312" t="s">
        <v>28</v>
      </c>
      <c r="D5" s="327"/>
      <c r="E5" s="327"/>
      <c r="F5" s="328"/>
      <c r="G5" s="328"/>
      <c r="H5" s="326"/>
      <c r="I5" s="326"/>
      <c r="J5" s="326"/>
      <c r="K5" s="329"/>
      <c r="L5" s="329"/>
      <c r="M5" s="330"/>
      <c r="N5" s="329"/>
      <c r="O5" s="329"/>
      <c r="P5" s="331"/>
      <c r="Q5" s="331"/>
      <c r="R5" s="326"/>
      <c r="S5" s="331"/>
      <c r="T5" s="331"/>
      <c r="U5" s="326"/>
      <c r="V5" s="315"/>
      <c r="W5" s="331"/>
      <c r="X5" s="331"/>
      <c r="Y5" s="315"/>
      <c r="Z5" s="315"/>
      <c r="AA5" s="315"/>
      <c r="AB5" s="315"/>
    </row>
    <row r="6" spans="1:33" ht="13" x14ac:dyDescent="0.3">
      <c r="B6" s="313"/>
      <c r="C6" s="313"/>
      <c r="D6" s="313" t="s">
        <v>30</v>
      </c>
      <c r="E6" s="313"/>
      <c r="F6" s="332"/>
      <c r="G6" s="332"/>
      <c r="H6" s="527"/>
      <c r="I6" s="527"/>
      <c r="J6" s="334"/>
      <c r="K6" s="333"/>
      <c r="L6" s="334"/>
      <c r="M6" s="335"/>
      <c r="N6" s="333"/>
      <c r="O6" s="334"/>
      <c r="P6" s="335"/>
      <c r="Q6" s="335"/>
      <c r="R6" s="334"/>
      <c r="S6" s="335"/>
      <c r="T6" s="335"/>
      <c r="U6" s="334"/>
      <c r="V6" s="315"/>
      <c r="W6" s="335"/>
      <c r="X6" s="335"/>
      <c r="Y6" s="315"/>
      <c r="Z6" s="315"/>
      <c r="AA6" s="315"/>
      <c r="AB6" s="315"/>
    </row>
    <row r="7" spans="1:33" ht="13" x14ac:dyDescent="0.3">
      <c r="D7" s="327"/>
      <c r="E7" s="327"/>
      <c r="F7" s="328"/>
      <c r="G7" s="328"/>
      <c r="H7" s="322"/>
      <c r="I7" s="326"/>
      <c r="J7" s="326"/>
      <c r="K7" s="322"/>
      <c r="L7" s="326"/>
      <c r="M7" s="331"/>
      <c r="N7" s="326"/>
      <c r="O7" s="326"/>
      <c r="P7" s="331"/>
      <c r="Q7" s="331"/>
      <c r="R7" s="326"/>
      <c r="S7" s="331"/>
      <c r="T7" s="331"/>
      <c r="U7" s="326"/>
      <c r="V7" s="315"/>
      <c r="W7" s="331"/>
      <c r="X7" s="331"/>
      <c r="Y7" s="315"/>
      <c r="Z7" s="315"/>
      <c r="AA7" s="315"/>
      <c r="AB7" s="315"/>
    </row>
    <row r="8" spans="1:33" ht="13.5" thickBot="1" x14ac:dyDescent="0.35">
      <c r="B8" s="336" t="s">
        <v>33</v>
      </c>
      <c r="C8" s="336"/>
      <c r="D8" s="336" t="s">
        <v>34</v>
      </c>
      <c r="E8" s="337"/>
      <c r="F8" s="338"/>
      <c r="G8" s="338"/>
      <c r="K8" s="322"/>
      <c r="M8" s="339"/>
      <c r="P8" s="339"/>
      <c r="Q8" s="339"/>
      <c r="S8" s="339"/>
      <c r="T8" s="339"/>
      <c r="V8" s="315"/>
      <c r="W8" s="339"/>
      <c r="X8" s="339"/>
      <c r="Y8" s="315"/>
      <c r="Z8" s="315"/>
      <c r="AA8" s="315"/>
      <c r="AB8" s="315"/>
    </row>
    <row r="9" spans="1:33" ht="15.75" hidden="1" customHeight="1" thickBot="1" x14ac:dyDescent="0.4">
      <c r="B9" s="55" t="s">
        <v>955</v>
      </c>
      <c r="C9" s="535" t="s">
        <v>793</v>
      </c>
      <c r="D9" s="314" t="s">
        <v>772</v>
      </c>
      <c r="E9" s="386">
        <f>IF(METRAJE!D15="PANEL DE RESINA 3mm + PIR e=60mm",(METRAJE!G49+METRAJE!G50+METRAJE!G51+METRAJE!G52+METRAJE!E68),0)</f>
        <v>0</v>
      </c>
      <c r="F9" s="315" t="s">
        <v>409</v>
      </c>
      <c r="H9" s="526">
        <f>'PRICE LIST'!H9</f>
        <v>48.61</v>
      </c>
      <c r="I9" s="526">
        <f t="shared" ref="I9:I13" si="0">H9*E9</f>
        <v>0</v>
      </c>
      <c r="K9" s="316" cm="1">
        <f t="array" ref="K9">_xlfn.IFS(M$2=1,'PRICE LIST'!L9,M$2=2,'PRICE LIST'!O9,$M$2=3,'PRICE LIST'!AA9,$M$2=4,H9*$H$2)</f>
        <v>81.01700000000001</v>
      </c>
      <c r="M9" s="339">
        <f t="shared" ref="M9:M13" si="1">K9*E9</f>
        <v>0</v>
      </c>
      <c r="N9" s="376">
        <f>M9/$M$250</f>
        <v>0</v>
      </c>
      <c r="P9" s="339" t="e">
        <f>Q9/E9</f>
        <v>#DIV/0!</v>
      </c>
      <c r="Q9" s="339">
        <f>N9*'MONTAJE CERR PROPIOS STE EP'!$C$18</f>
        <v>0</v>
      </c>
      <c r="S9" s="339" t="e">
        <f>P9*FMONTAJE</f>
        <v>#DIV/0!</v>
      </c>
      <c r="T9" s="339">
        <f t="shared" ref="S9:T13" si="2">Q9*FMONTAJE</f>
        <v>0</v>
      </c>
      <c r="V9" s="315"/>
      <c r="W9" s="339" t="e">
        <f>K9+S9</f>
        <v>#DIV/0!</v>
      </c>
      <c r="X9" s="339">
        <f>M9+T9</f>
        <v>0</v>
      </c>
      <c r="Y9" s="315"/>
      <c r="Z9" s="315"/>
      <c r="AA9" s="315"/>
      <c r="AB9" s="315"/>
      <c r="AG9" s="340"/>
    </row>
    <row r="10" spans="1:33" ht="15.75" hidden="1" customHeight="1" thickBot="1" x14ac:dyDescent="0.4">
      <c r="B10" s="55" t="s">
        <v>956</v>
      </c>
      <c r="C10" s="535" t="s">
        <v>794</v>
      </c>
      <c r="D10" s="314" t="s">
        <v>38</v>
      </c>
      <c r="E10" s="386">
        <f>IF(METRAJE!D15="RESINA IGNIFUGA 3MM + LANA DE ROCA  e=60mm",(METRAJE!G49+METRAJE!G50+METRAJE!G51+METRAJE!G52+METRAJE!E68),0)</f>
        <v>0</v>
      </c>
      <c r="F10" s="315" t="s">
        <v>409</v>
      </c>
      <c r="H10" s="526">
        <f>'PRICE LIST'!H10</f>
        <v>61.72</v>
      </c>
      <c r="I10" s="526">
        <f t="shared" si="0"/>
        <v>0</v>
      </c>
      <c r="K10" s="316" cm="1">
        <f t="array" ref="K10">_xlfn.IFS(M$2=1,'PRICE LIST'!L10,M$2=2,'PRICE LIST'!O10,$M$2=3,'PRICE LIST'!AA10,$M$2=4,H10*$H$2)</f>
        <v>102.89999999999999</v>
      </c>
      <c r="M10" s="339">
        <f t="shared" si="1"/>
        <v>0</v>
      </c>
      <c r="N10" s="376">
        <f>M10/$M$250</f>
        <v>0</v>
      </c>
      <c r="P10" s="339" t="e">
        <f t="shared" ref="P10:P13" si="3">Q10/E10</f>
        <v>#DIV/0!</v>
      </c>
      <c r="Q10" s="339">
        <f>N10*'MONTAJE CERR PROPIOS STE EP'!$C$18</f>
        <v>0</v>
      </c>
      <c r="S10" s="339" t="e">
        <f t="shared" si="2"/>
        <v>#DIV/0!</v>
      </c>
      <c r="T10" s="339">
        <f t="shared" si="2"/>
        <v>0</v>
      </c>
      <c r="V10" s="315"/>
      <c r="W10" s="339" t="e">
        <f t="shared" ref="W10:W13" si="4">K10+S10</f>
        <v>#DIV/0!</v>
      </c>
      <c r="X10" s="339">
        <f t="shared" ref="X10:X13" si="5">M10+T10</f>
        <v>0</v>
      </c>
      <c r="Y10" s="315"/>
      <c r="Z10" s="315"/>
      <c r="AA10" s="315"/>
      <c r="AB10" s="315"/>
    </row>
    <row r="11" spans="1:33" ht="15.75" customHeight="1" thickBot="1" x14ac:dyDescent="0.4">
      <c r="B11" s="55" t="s">
        <v>957</v>
      </c>
      <c r="C11" s="535" t="s">
        <v>931</v>
      </c>
      <c r="D11" s="314" t="s">
        <v>774</v>
      </c>
      <c r="E11" s="386">
        <f>IF(METRAJE!D15="METÁLICO 0,5+ PIR e=60mm",(METRAJE!G49+METRAJE!G50+METRAJE!G51+METRAJE!G52+METRAJE!E68),0)</f>
        <v>20</v>
      </c>
      <c r="F11" s="315" t="s">
        <v>409</v>
      </c>
      <c r="H11" s="526">
        <f>'PRICE LIST'!H11</f>
        <v>35.9</v>
      </c>
      <c r="I11" s="526">
        <f t="shared" si="0"/>
        <v>718</v>
      </c>
      <c r="K11" s="316" cm="1">
        <f t="array" ref="K11">_xlfn.IFS(M$2=1,'PRICE LIST'!L11,M$2=2,'PRICE LIST'!O11,$M$2=3,'PRICE LIST'!AA11,$M$2=4,H11*$H$2)</f>
        <v>59.9</v>
      </c>
      <c r="M11" s="339">
        <f t="shared" si="1"/>
        <v>1198</v>
      </c>
      <c r="N11" s="376">
        <f>M11/$M$250</f>
        <v>0.81277646611848342</v>
      </c>
      <c r="P11" s="339">
        <f>Q11/E11</f>
        <v>45.657717984205803</v>
      </c>
      <c r="Q11" s="339">
        <f>N11*'MONTAJE CERR PROPIOS STE EP'!$C$18</f>
        <v>913.15435968411612</v>
      </c>
      <c r="S11" s="339">
        <f>P11*FMONTAJE</f>
        <v>66.203691077098412</v>
      </c>
      <c r="T11" s="339">
        <f t="shared" si="2"/>
        <v>1324.0738215419683</v>
      </c>
      <c r="V11" s="315"/>
      <c r="W11" s="339">
        <f t="shared" si="4"/>
        <v>126.1036910770984</v>
      </c>
      <c r="X11" s="339">
        <f t="shared" si="5"/>
        <v>2522.0738215419683</v>
      </c>
      <c r="Y11" s="315"/>
      <c r="Z11" s="315"/>
      <c r="AA11" s="315"/>
      <c r="AB11" s="315"/>
    </row>
    <row r="12" spans="1:33" ht="15.75" hidden="1" customHeight="1" thickBot="1" x14ac:dyDescent="0.4">
      <c r="B12" s="55" t="s">
        <v>958</v>
      </c>
      <c r="C12" s="535" t="s">
        <v>932</v>
      </c>
      <c r="D12" s="314" t="s">
        <v>41</v>
      </c>
      <c r="E12" s="386">
        <f>IF(METRAJE!D15="METÁLICO 0,5+ LANA DE ROCA e=60mm",(METRAJE!G49+METRAJE!G50+METRAJE!G51+METRAJE!G52+METRAJE!E68),0)</f>
        <v>0</v>
      </c>
      <c r="F12" s="315" t="s">
        <v>409</v>
      </c>
      <c r="H12" s="526">
        <f>'PRICE LIST'!H12</f>
        <v>37.9</v>
      </c>
      <c r="I12" s="526">
        <f t="shared" si="0"/>
        <v>0</v>
      </c>
      <c r="K12" s="316" cm="1">
        <f t="array" ref="K12">_xlfn.IFS(M$2=1,'PRICE LIST'!L12,M$2=2,'PRICE LIST'!O12,$M$2=3,'PRICE LIST'!AA12,$M$2=4,H12*$H$2)</f>
        <v>63.2</v>
      </c>
      <c r="M12" s="339">
        <f t="shared" si="1"/>
        <v>0</v>
      </c>
      <c r="N12" s="376">
        <f>M12/$M$250</f>
        <v>0</v>
      </c>
      <c r="P12" s="339" t="e">
        <f>Q12/E12</f>
        <v>#DIV/0!</v>
      </c>
      <c r="Q12" s="339">
        <f>N12*'MONTAJE CERR PROPIOS STE EP'!$C$18</f>
        <v>0</v>
      </c>
      <c r="S12" s="339" t="e">
        <f>P12*FMONTAJE</f>
        <v>#DIV/0!</v>
      </c>
      <c r="T12" s="339">
        <f t="shared" si="2"/>
        <v>0</v>
      </c>
      <c r="V12" s="315"/>
      <c r="W12" s="339" t="e">
        <f t="shared" si="4"/>
        <v>#DIV/0!</v>
      </c>
      <c r="X12" s="339">
        <f t="shared" si="5"/>
        <v>0</v>
      </c>
      <c r="Y12" s="315"/>
      <c r="Z12" s="315"/>
      <c r="AA12" s="315"/>
      <c r="AB12" s="315"/>
    </row>
    <row r="13" spans="1:33" ht="15.75" hidden="1" customHeight="1" thickBot="1" x14ac:dyDescent="0.4">
      <c r="B13" s="55" t="s">
        <v>959</v>
      </c>
      <c r="C13" s="535" t="s">
        <v>933</v>
      </c>
      <c r="D13" s="314" t="s">
        <v>785</v>
      </c>
      <c r="E13" s="386">
        <f>IF(METRAJE!D15="METÁLICO 0,5+ LANA DE ROCA e=80mm",(METRAJE!G49+METRAJE!G50+METRAJE!G51+METRAJE!G52+METRAJE!E68),0)</f>
        <v>0</v>
      </c>
      <c r="F13" s="315" t="s">
        <v>409</v>
      </c>
      <c r="H13" s="526">
        <f>'PRICE LIST'!H13</f>
        <v>41.4</v>
      </c>
      <c r="I13" s="526">
        <f t="shared" si="0"/>
        <v>0</v>
      </c>
      <c r="K13" s="316" cm="1">
        <f t="array" ref="K13">_xlfn.IFS(M$2=1,'PRICE LIST'!L13,M$2=2,'PRICE LIST'!O13,$M$2=3,'PRICE LIST'!AA13,$M$2=4,H13*$H$2)</f>
        <v>69</v>
      </c>
      <c r="M13" s="339">
        <f t="shared" si="1"/>
        <v>0</v>
      </c>
      <c r="N13" s="376">
        <f>M13/$M$250</f>
        <v>0</v>
      </c>
      <c r="P13" s="339" t="e">
        <f t="shared" si="3"/>
        <v>#DIV/0!</v>
      </c>
      <c r="Q13" s="339">
        <f>N13*'MONTAJE CERR PROPIOS STE EP'!$C$18</f>
        <v>0</v>
      </c>
      <c r="S13" s="339" t="e">
        <f t="shared" si="2"/>
        <v>#DIV/0!</v>
      </c>
      <c r="T13" s="339">
        <f t="shared" si="2"/>
        <v>0</v>
      </c>
      <c r="V13" s="315"/>
      <c r="W13" s="339" t="e">
        <f t="shared" si="4"/>
        <v>#DIV/0!</v>
      </c>
      <c r="X13" s="339">
        <f t="shared" si="5"/>
        <v>0</v>
      </c>
      <c r="Y13" s="315"/>
      <c r="Z13" s="315"/>
      <c r="AA13" s="315"/>
      <c r="AB13" s="315"/>
    </row>
    <row r="14" spans="1:33" ht="15.75" hidden="1" customHeight="1" x14ac:dyDescent="0.3">
      <c r="E14" s="514"/>
      <c r="M14" s="339"/>
      <c r="N14" s="376"/>
      <c r="P14" s="339"/>
      <c r="Q14" s="339"/>
      <c r="S14" s="339"/>
      <c r="T14" s="339"/>
      <c r="V14" s="315"/>
      <c r="W14" s="339"/>
      <c r="X14" s="339"/>
      <c r="Y14" s="315"/>
      <c r="Z14" s="315"/>
      <c r="AA14" s="315"/>
      <c r="AB14" s="315"/>
    </row>
    <row r="15" spans="1:33" ht="13.5" hidden="1" customHeight="1" x14ac:dyDescent="0.3">
      <c r="A15" s="314" t="s">
        <v>43</v>
      </c>
      <c r="M15" s="339"/>
      <c r="P15" s="339"/>
      <c r="Q15" s="339"/>
      <c r="S15" s="339"/>
      <c r="T15" s="339"/>
      <c r="V15" s="315"/>
      <c r="W15" s="339"/>
      <c r="X15" s="339"/>
      <c r="Y15" s="315"/>
      <c r="Z15" s="315"/>
      <c r="AA15" s="315"/>
      <c r="AB15" s="315"/>
    </row>
    <row r="16" spans="1:33" ht="13.5" hidden="1" thickBot="1" x14ac:dyDescent="0.35">
      <c r="B16" s="336" t="s">
        <v>44</v>
      </c>
      <c r="C16" s="336"/>
      <c r="D16" s="336" t="s">
        <v>45</v>
      </c>
      <c r="E16" s="337"/>
      <c r="F16" s="338"/>
      <c r="G16" s="338"/>
      <c r="M16" s="339"/>
      <c r="P16" s="339"/>
      <c r="Q16" s="339"/>
      <c r="S16" s="339"/>
      <c r="T16" s="339"/>
      <c r="V16" s="315"/>
      <c r="W16" s="339"/>
      <c r="X16" s="339"/>
      <c r="Y16" s="315"/>
      <c r="Z16" s="315"/>
      <c r="AA16" s="315"/>
      <c r="AB16" s="315"/>
    </row>
    <row r="17" spans="3:35" ht="15.75" hidden="1" customHeight="1" thickBot="1" x14ac:dyDescent="0.4">
      <c r="C17" s="55" t="s">
        <v>795</v>
      </c>
      <c r="D17" s="55" t="s">
        <v>775</v>
      </c>
      <c r="E17" s="386">
        <f>IF(METRAJE!D20="METÁLICO 0,5 + LANA DE ROCA - 80MM",(METRAJE!I43),0)</f>
        <v>0</v>
      </c>
      <c r="F17" s="315" t="s">
        <v>409</v>
      </c>
      <c r="H17" s="526">
        <f>'PRICE LIST'!H17</f>
        <v>36.82</v>
      </c>
      <c r="I17" s="526">
        <f t="shared" ref="I17:I21" si="6">H17*E17</f>
        <v>0</v>
      </c>
      <c r="K17" s="316" cm="1">
        <f t="array" ref="K17">_xlfn.IFS(M$2=1,'PRICE LIST'!L17,M$2=2,'PRICE LIST'!O17,$M$2=3,'PRICE LIST'!AA17,$M$2=4,H17*$H$2)</f>
        <v>58.5</v>
      </c>
      <c r="M17" s="339">
        <f t="shared" ref="M17:M21" si="7">K17*E17</f>
        <v>0</v>
      </c>
      <c r="N17" s="376">
        <f>M17/$M$250</f>
        <v>0</v>
      </c>
      <c r="P17" s="339" t="e">
        <f t="shared" ref="P17:P21" si="8">Q17/E17</f>
        <v>#DIV/0!</v>
      </c>
      <c r="Q17" s="339">
        <f>N17*'MONTAJE CERR PROPIOS STE EP'!$C$18</f>
        <v>0</v>
      </c>
      <c r="S17" s="339" t="e">
        <f t="shared" ref="S17:T21" si="9">P17*FMONTAJE</f>
        <v>#DIV/0!</v>
      </c>
      <c r="T17" s="339">
        <f t="shared" si="9"/>
        <v>0</v>
      </c>
      <c r="V17" s="315"/>
      <c r="W17" s="339" t="e">
        <f t="shared" ref="W17:W21" si="10">K17+S17</f>
        <v>#DIV/0!</v>
      </c>
      <c r="X17" s="339">
        <f t="shared" ref="X17:X21" si="11">M17+T17</f>
        <v>0</v>
      </c>
      <c r="Y17" s="315"/>
      <c r="Z17" s="315"/>
      <c r="AA17" s="315"/>
      <c r="AB17" s="315"/>
      <c r="AH17" s="316"/>
      <c r="AI17" s="315"/>
    </row>
    <row r="18" spans="3:35" ht="15.75" hidden="1" customHeight="1" thickBot="1" x14ac:dyDescent="0.4">
      <c r="C18" s="55" t="s">
        <v>796</v>
      </c>
      <c r="D18" s="55" t="s">
        <v>47</v>
      </c>
      <c r="E18" s="386">
        <f>IF(METRAJE!D20="METÁLICO 0,5 + LANA DE ROCA - 100MM",(METRAJE!I43),0)</f>
        <v>0</v>
      </c>
      <c r="F18" s="315" t="s">
        <v>409</v>
      </c>
      <c r="H18" s="526">
        <f>'PRICE LIST'!H18</f>
        <v>39.31</v>
      </c>
      <c r="I18" s="526">
        <f t="shared" si="6"/>
        <v>0</v>
      </c>
      <c r="K18" s="316" cm="1">
        <f t="array" ref="K18">_xlfn.IFS(M$2=1,'PRICE LIST'!L18,M$2=2,'PRICE LIST'!O18,$M$2=3,'PRICE LIST'!AA18,$M$2=4,H18*$H$2)</f>
        <v>62.4</v>
      </c>
      <c r="M18" s="339">
        <f t="shared" si="7"/>
        <v>0</v>
      </c>
      <c r="N18" s="376">
        <f>M18/$M$250</f>
        <v>0</v>
      </c>
      <c r="P18" s="339" t="e">
        <f t="shared" si="8"/>
        <v>#DIV/0!</v>
      </c>
      <c r="Q18" s="339">
        <f>N18*'MONTAJE CERR PROPIOS STE EP'!$C$18</f>
        <v>0</v>
      </c>
      <c r="S18" s="339" t="e">
        <f t="shared" si="9"/>
        <v>#DIV/0!</v>
      </c>
      <c r="T18" s="339">
        <f t="shared" si="9"/>
        <v>0</v>
      </c>
      <c r="V18" s="315"/>
      <c r="W18" s="339" t="e">
        <f t="shared" si="10"/>
        <v>#DIV/0!</v>
      </c>
      <c r="X18" s="339">
        <f t="shared" si="11"/>
        <v>0</v>
      </c>
      <c r="Y18" s="315"/>
      <c r="Z18" s="315"/>
      <c r="AA18" s="315"/>
      <c r="AB18" s="315"/>
      <c r="AH18" s="316"/>
      <c r="AI18" s="315"/>
    </row>
    <row r="19" spans="3:35" ht="15.75" hidden="1" customHeight="1" thickBot="1" x14ac:dyDescent="0.4">
      <c r="C19" s="55" t="s">
        <v>797</v>
      </c>
      <c r="D19" s="55" t="s">
        <v>776</v>
      </c>
      <c r="E19" s="386">
        <f>IF(METRAJE!D20="METÁLICO 0,5 + PIR - 40 MM ",(METRAJE!I43),0)</f>
        <v>0</v>
      </c>
      <c r="F19" s="315" t="s">
        <v>409</v>
      </c>
      <c r="H19" s="526">
        <f>'PRICE LIST'!H19</f>
        <v>25.75</v>
      </c>
      <c r="I19" s="526">
        <f t="shared" si="6"/>
        <v>0</v>
      </c>
      <c r="K19" s="316" cm="1">
        <f t="array" ref="K19">_xlfn.IFS(M$2=1,'PRICE LIST'!L19,M$2=2,'PRICE LIST'!O19,$M$2=3,'PRICE LIST'!AA19,$M$2=4,H19*$H$2)</f>
        <v>40.9</v>
      </c>
      <c r="M19" s="339">
        <f t="shared" si="7"/>
        <v>0</v>
      </c>
      <c r="N19" s="376">
        <f>M19/$M$250</f>
        <v>0</v>
      </c>
      <c r="P19" s="339" t="e">
        <f t="shared" si="8"/>
        <v>#DIV/0!</v>
      </c>
      <c r="Q19" s="339">
        <f>N19*'MONTAJE CERR PROPIOS STE EP'!$C$18</f>
        <v>0</v>
      </c>
      <c r="S19" s="339" t="e">
        <f t="shared" si="9"/>
        <v>#DIV/0!</v>
      </c>
      <c r="T19" s="339">
        <f t="shared" si="9"/>
        <v>0</v>
      </c>
      <c r="V19" s="315"/>
      <c r="W19" s="339" t="e">
        <f t="shared" si="10"/>
        <v>#DIV/0!</v>
      </c>
      <c r="X19" s="339">
        <f t="shared" si="11"/>
        <v>0</v>
      </c>
      <c r="Y19" s="315"/>
      <c r="Z19" s="315"/>
      <c r="AA19" s="315"/>
      <c r="AB19" s="315"/>
    </row>
    <row r="20" spans="3:35" ht="15.75" hidden="1" customHeight="1" thickBot="1" x14ac:dyDescent="0.4">
      <c r="C20" s="55" t="s">
        <v>798</v>
      </c>
      <c r="D20" s="55" t="s">
        <v>49</v>
      </c>
      <c r="E20" s="386">
        <f>IF(METRAJE!D20="METÁLICO 0,5 + PIR - 60 MM ",(METRAJE!I43),0)</f>
        <v>0</v>
      </c>
      <c r="F20" s="315" t="s">
        <v>409</v>
      </c>
      <c r="H20" s="526">
        <f>'PRICE LIST'!H20</f>
        <v>28.95</v>
      </c>
      <c r="I20" s="526">
        <f t="shared" si="6"/>
        <v>0</v>
      </c>
      <c r="K20" s="316" cm="1">
        <f t="array" ref="K20">_xlfn.IFS(M$2=1,'PRICE LIST'!L20,M$2=2,'PRICE LIST'!O20,$M$2=3,'PRICE LIST'!AA20,$M$2=4,H20*$H$2)</f>
        <v>46</v>
      </c>
      <c r="M20" s="339">
        <f t="shared" si="7"/>
        <v>0</v>
      </c>
      <c r="N20" s="376">
        <f>M20/$M$250</f>
        <v>0</v>
      </c>
      <c r="P20" s="339" t="e">
        <f t="shared" si="8"/>
        <v>#DIV/0!</v>
      </c>
      <c r="Q20" s="339">
        <f>N20*'MONTAJE CERR PROPIOS STE EP'!$C$18</f>
        <v>0</v>
      </c>
      <c r="S20" s="339" t="e">
        <f t="shared" si="9"/>
        <v>#DIV/0!</v>
      </c>
      <c r="T20" s="339">
        <f t="shared" si="9"/>
        <v>0</v>
      </c>
      <c r="V20" s="315"/>
      <c r="W20" s="339" t="e">
        <f t="shared" si="10"/>
        <v>#DIV/0!</v>
      </c>
      <c r="X20" s="339">
        <f t="shared" si="11"/>
        <v>0</v>
      </c>
      <c r="Y20" s="315"/>
      <c r="Z20" s="315"/>
      <c r="AA20" s="315"/>
      <c r="AB20" s="315"/>
    </row>
    <row r="21" spans="3:35" ht="15.75" hidden="1" customHeight="1" thickBot="1" x14ac:dyDescent="0.4">
      <c r="C21" s="55" t="s">
        <v>799</v>
      </c>
      <c r="D21" s="55" t="s">
        <v>51</v>
      </c>
      <c r="E21" s="386">
        <f>IF(METRAJE!D20="METÁLICO 0,5 + PIR - 80 MM ",(METRAJE!I43),0)</f>
        <v>0</v>
      </c>
      <c r="F21" s="315" t="s">
        <v>409</v>
      </c>
      <c r="H21" s="526">
        <f>'PRICE LIST'!H21</f>
        <v>31.75</v>
      </c>
      <c r="I21" s="526">
        <f t="shared" si="6"/>
        <v>0</v>
      </c>
      <c r="K21" s="316" cm="1">
        <f t="array" ref="K21">_xlfn.IFS(M$2=1,'PRICE LIST'!L21,M$2=2,'PRICE LIST'!O21,$M$2=3,'PRICE LIST'!AA21,$M$2=4,H21*$H$2)</f>
        <v>50.4</v>
      </c>
      <c r="M21" s="339">
        <f t="shared" si="7"/>
        <v>0</v>
      </c>
      <c r="N21" s="376">
        <f>M21/$M$250</f>
        <v>0</v>
      </c>
      <c r="P21" s="339" t="e">
        <f t="shared" si="8"/>
        <v>#DIV/0!</v>
      </c>
      <c r="Q21" s="339">
        <f>N21*'MONTAJE CERR PROPIOS STE EP'!$C$18</f>
        <v>0</v>
      </c>
      <c r="S21" s="339" t="e">
        <f t="shared" si="9"/>
        <v>#DIV/0!</v>
      </c>
      <c r="T21" s="339">
        <f t="shared" si="9"/>
        <v>0</v>
      </c>
      <c r="V21" s="315"/>
      <c r="W21" s="339" t="e">
        <f t="shared" si="10"/>
        <v>#DIV/0!</v>
      </c>
      <c r="X21" s="339">
        <f t="shared" si="11"/>
        <v>0</v>
      </c>
      <c r="Y21" s="315"/>
      <c r="Z21" s="315"/>
      <c r="AA21" s="315"/>
      <c r="AB21" s="315"/>
    </row>
    <row r="22" spans="3:35" ht="15.75" hidden="1" customHeight="1" x14ac:dyDescent="0.4">
      <c r="C22" s="55"/>
      <c r="D22" s="55"/>
      <c r="E22" s="514"/>
      <c r="M22" s="339"/>
      <c r="N22" s="376"/>
      <c r="P22" s="339"/>
      <c r="Q22" s="339"/>
      <c r="S22" s="339"/>
      <c r="T22" s="339"/>
      <c r="V22" s="315"/>
      <c r="W22" s="339"/>
      <c r="X22" s="339"/>
      <c r="Y22" s="315"/>
      <c r="Z22" s="315"/>
      <c r="AA22" s="315"/>
      <c r="AB22" s="315"/>
    </row>
    <row r="23" spans="3:35" ht="15.75" hidden="1" customHeight="1" thickBot="1" x14ac:dyDescent="0.4">
      <c r="C23" s="55"/>
      <c r="D23" s="341" t="s">
        <v>1010</v>
      </c>
      <c r="E23" s="341"/>
      <c r="F23" s="342"/>
      <c r="G23" s="342"/>
      <c r="M23" s="339"/>
      <c r="P23" s="339"/>
      <c r="Q23" s="339"/>
      <c r="S23" s="339"/>
      <c r="T23" s="339"/>
      <c r="V23" s="315"/>
      <c r="W23" s="339"/>
      <c r="X23" s="339"/>
      <c r="Y23" s="315"/>
      <c r="Z23" s="315"/>
      <c r="AA23" s="315"/>
      <c r="AB23" s="315"/>
    </row>
    <row r="24" spans="3:35" ht="15.75" hidden="1" customHeight="1" thickBot="1" x14ac:dyDescent="0.3">
      <c r="C24" s="229" t="s">
        <v>790</v>
      </c>
      <c r="D24" s="314" t="s">
        <v>52</v>
      </c>
      <c r="E24" s="385">
        <v>0</v>
      </c>
      <c r="F24" s="315" t="s">
        <v>410</v>
      </c>
      <c r="H24" s="526">
        <f>'PRICE LIST'!H24</f>
        <v>32</v>
      </c>
      <c r="I24" s="526">
        <f t="shared" ref="I24:I30" si="12">H24*E24</f>
        <v>0</v>
      </c>
      <c r="K24" s="316" cm="1">
        <f t="array" ref="K24">_xlfn.IFS(M$2=1,'PRICE LIST'!L24,M$2=2,'PRICE LIST'!O24,$M$2=3,'PRICE LIST'!AA24,$M$2=4,H24*$H$2)</f>
        <v>49.300000000000004</v>
      </c>
      <c r="M24" s="339">
        <f t="shared" ref="M24:M30" si="13">K24*E24</f>
        <v>0</v>
      </c>
      <c r="N24" s="376">
        <f t="shared" ref="N24:N30" si="14">M24/$M$250</f>
        <v>0</v>
      </c>
      <c r="P24" s="339" t="e">
        <f t="shared" ref="P24:P30" si="15">Q24/E24</f>
        <v>#DIV/0!</v>
      </c>
      <c r="Q24" s="339">
        <f>N24*'MONTAJE CERR PROPIOS STE EP'!$C$18</f>
        <v>0</v>
      </c>
      <c r="S24" s="339" t="e">
        <f t="shared" ref="S24:T30" si="16">P24*FMONTAJE</f>
        <v>#DIV/0!</v>
      </c>
      <c r="T24" s="339">
        <f t="shared" si="16"/>
        <v>0</v>
      </c>
      <c r="V24" s="315"/>
      <c r="W24" s="339" t="e">
        <f t="shared" ref="W24:W30" si="17">K24+S24</f>
        <v>#DIV/0!</v>
      </c>
      <c r="X24" s="339">
        <f t="shared" ref="X24:X30" si="18">M24+T24</f>
        <v>0</v>
      </c>
      <c r="Y24" s="315"/>
      <c r="Z24" s="315"/>
      <c r="AA24" s="315"/>
      <c r="AB24" s="315"/>
    </row>
    <row r="25" spans="3:35" ht="13.5" hidden="1" customHeight="1" thickBot="1" x14ac:dyDescent="0.3">
      <c r="C25" s="229" t="s">
        <v>791</v>
      </c>
      <c r="D25" s="314" t="s">
        <v>54</v>
      </c>
      <c r="E25" s="385">
        <v>0</v>
      </c>
      <c r="F25" s="315" t="s">
        <v>410</v>
      </c>
      <c r="H25" s="526">
        <f>'PRICE LIST'!H25</f>
        <v>5</v>
      </c>
      <c r="I25" s="526">
        <f t="shared" si="12"/>
        <v>0</v>
      </c>
      <c r="K25" s="316" cm="1">
        <f t="array" ref="K25">_xlfn.IFS(M$2=1,'PRICE LIST'!L25,M$2=2,'PRICE LIST'!O25,$M$2=3,'PRICE LIST'!AA25,$M$2=4,H25*$H$2)</f>
        <v>7.6999999999999993</v>
      </c>
      <c r="M25" s="339">
        <f t="shared" si="13"/>
        <v>0</v>
      </c>
      <c r="N25" s="376">
        <f t="shared" si="14"/>
        <v>0</v>
      </c>
      <c r="P25" s="339" t="e">
        <f t="shared" si="15"/>
        <v>#DIV/0!</v>
      </c>
      <c r="Q25" s="339">
        <f>N25*'MONTAJE CERR PROPIOS STE EP'!$C$18</f>
        <v>0</v>
      </c>
      <c r="S25" s="339" t="e">
        <f t="shared" si="16"/>
        <v>#DIV/0!</v>
      </c>
      <c r="T25" s="339">
        <f t="shared" si="16"/>
        <v>0</v>
      </c>
      <c r="V25" s="315"/>
      <c r="W25" s="339" t="e">
        <f t="shared" si="17"/>
        <v>#DIV/0!</v>
      </c>
      <c r="X25" s="339">
        <f t="shared" si="18"/>
        <v>0</v>
      </c>
      <c r="Y25" s="315"/>
      <c r="Z25" s="315"/>
      <c r="AA25" s="315"/>
      <c r="AB25" s="315"/>
    </row>
    <row r="26" spans="3:35" ht="15" hidden="1" thickBot="1" x14ac:dyDescent="0.3">
      <c r="C26" s="229" t="s">
        <v>792</v>
      </c>
      <c r="D26" s="314" t="s">
        <v>55</v>
      </c>
      <c r="E26" s="385">
        <v>0</v>
      </c>
      <c r="F26" s="315" t="s">
        <v>410</v>
      </c>
      <c r="H26" s="526">
        <f>'PRICE LIST'!H26</f>
        <v>0.8</v>
      </c>
      <c r="I26" s="526">
        <f t="shared" si="12"/>
        <v>0</v>
      </c>
      <c r="K26" s="316" cm="1">
        <f t="array" ref="K26">_xlfn.IFS(M$2=1,'PRICE LIST'!L26,M$2=2,'PRICE LIST'!O26,$M$2=3,'PRICE LIST'!AA26,$M$2=4,H26*$H$2)</f>
        <v>1.3</v>
      </c>
      <c r="M26" s="339">
        <f t="shared" si="13"/>
        <v>0</v>
      </c>
      <c r="N26" s="376">
        <f t="shared" si="14"/>
        <v>0</v>
      </c>
      <c r="P26" s="339" t="e">
        <f t="shared" si="15"/>
        <v>#DIV/0!</v>
      </c>
      <c r="Q26" s="339">
        <f>N26*'MONTAJE CERR PROPIOS STE EP'!$C$18</f>
        <v>0</v>
      </c>
      <c r="S26" s="339" t="e">
        <f t="shared" si="16"/>
        <v>#DIV/0!</v>
      </c>
      <c r="T26" s="339">
        <f t="shared" si="16"/>
        <v>0</v>
      </c>
      <c r="V26" s="315"/>
      <c r="W26" s="339" t="e">
        <f t="shared" si="17"/>
        <v>#DIV/0!</v>
      </c>
      <c r="X26" s="339">
        <f t="shared" si="18"/>
        <v>0</v>
      </c>
      <c r="Y26" s="315"/>
      <c r="Z26" s="315"/>
      <c r="AA26" s="315"/>
      <c r="AB26" s="315"/>
    </row>
    <row r="27" spans="3:35" ht="15.75" hidden="1" customHeight="1" thickBot="1" x14ac:dyDescent="0.3">
      <c r="C27" s="229" t="s">
        <v>800</v>
      </c>
      <c r="D27" s="314" t="s">
        <v>786</v>
      </c>
      <c r="E27" s="386">
        <f>IF(METRAJE!D21="RECERCADO A 2 CANTOS (e=60mm)",((METRAJE!G49+METRAJE!G50+METRAJE!G51+METRAJE!G52+METRAJE!E68)),0)</f>
        <v>0</v>
      </c>
      <c r="F27" s="315" t="s">
        <v>409</v>
      </c>
      <c r="H27" s="526">
        <f>'PRICE LIST'!H27</f>
        <v>30</v>
      </c>
      <c r="I27" s="526">
        <f t="shared" si="12"/>
        <v>0</v>
      </c>
      <c r="K27" s="316" cm="1">
        <f t="array" ref="K27">_xlfn.IFS(M$2=1,'PRICE LIST'!L27,M$2=2,'PRICE LIST'!O27,$M$2=3,'PRICE LIST'!AA27,$M$2=4,H27*$H$2)</f>
        <v>50</v>
      </c>
      <c r="M27" s="339">
        <f t="shared" si="13"/>
        <v>0</v>
      </c>
      <c r="N27" s="376">
        <f t="shared" si="14"/>
        <v>0</v>
      </c>
      <c r="P27" s="339" t="e">
        <f t="shared" si="15"/>
        <v>#DIV/0!</v>
      </c>
      <c r="Q27" s="339">
        <f>N27*'MONTAJE CERR PROPIOS STE EP'!$C$18</f>
        <v>0</v>
      </c>
      <c r="S27" s="339" t="e">
        <f t="shared" si="16"/>
        <v>#DIV/0!</v>
      </c>
      <c r="T27" s="339">
        <f t="shared" si="16"/>
        <v>0</v>
      </c>
      <c r="W27" s="339" t="e">
        <f t="shared" si="17"/>
        <v>#DIV/0!</v>
      </c>
      <c r="X27" s="339">
        <f t="shared" si="18"/>
        <v>0</v>
      </c>
      <c r="Y27" s="315"/>
      <c r="Z27" s="315"/>
      <c r="AA27" s="315"/>
      <c r="AB27" s="315"/>
    </row>
    <row r="28" spans="3:35" ht="15.75" hidden="1" customHeight="1" thickBot="1" x14ac:dyDescent="0.3">
      <c r="C28" s="229" t="s">
        <v>802</v>
      </c>
      <c r="D28" s="314" t="s">
        <v>787</v>
      </c>
      <c r="E28" s="386">
        <f>IF(METRAJE!D21="RECERCADO A 4 CANTOS (e=60mm)",((METRAJE!G49+METRAJE!G50+METRAJE!G51+METRAJE!G52+METRAJE!E68)),0)</f>
        <v>0</v>
      </c>
      <c r="F28" s="315" t="s">
        <v>409</v>
      </c>
      <c r="H28" s="526">
        <f>'PRICE LIST'!H28</f>
        <v>38</v>
      </c>
      <c r="I28" s="526">
        <f t="shared" si="12"/>
        <v>0</v>
      </c>
      <c r="K28" s="316" cm="1">
        <f t="array" ref="K28">_xlfn.IFS(M$2=1,'PRICE LIST'!L28,M$2=2,'PRICE LIST'!O28,$M$2=3,'PRICE LIST'!AA28,$M$2=4,H28*$H$2)</f>
        <v>63.4</v>
      </c>
      <c r="M28" s="339">
        <f t="shared" si="13"/>
        <v>0</v>
      </c>
      <c r="N28" s="376">
        <f t="shared" si="14"/>
        <v>0</v>
      </c>
      <c r="P28" s="339" t="e">
        <f t="shared" si="15"/>
        <v>#DIV/0!</v>
      </c>
      <c r="Q28" s="339">
        <f>N28*'MONTAJE CERR PROPIOS STE EP'!$C$18</f>
        <v>0</v>
      </c>
      <c r="S28" s="339" t="e">
        <f t="shared" si="16"/>
        <v>#DIV/0!</v>
      </c>
      <c r="T28" s="339">
        <f t="shared" si="16"/>
        <v>0</v>
      </c>
      <c r="W28" s="339" t="e">
        <f t="shared" si="17"/>
        <v>#DIV/0!</v>
      </c>
      <c r="X28" s="339">
        <f t="shared" si="18"/>
        <v>0</v>
      </c>
      <c r="Y28" s="315"/>
      <c r="Z28" s="315"/>
      <c r="AA28" s="315"/>
      <c r="AB28" s="315"/>
    </row>
    <row r="29" spans="3:35" ht="15.75" hidden="1" customHeight="1" thickBot="1" x14ac:dyDescent="0.3">
      <c r="C29" s="229" t="s">
        <v>801</v>
      </c>
      <c r="D29" s="314" t="s">
        <v>788</v>
      </c>
      <c r="E29" s="386">
        <f>IF(METRAJE!D21="RECERCADO A 2 CANTOS (e=80mm)",((METRAJE!G49+METRAJE!G50+METRAJE!G51+METRAJE!G52+METRAJE!E68)),0)</f>
        <v>0</v>
      </c>
      <c r="F29" s="315" t="s">
        <v>409</v>
      </c>
      <c r="H29" s="526">
        <f>'PRICE LIST'!H29</f>
        <v>34</v>
      </c>
      <c r="I29" s="526">
        <f t="shared" si="12"/>
        <v>0</v>
      </c>
      <c r="K29" s="316" cm="1">
        <f t="array" ref="K29">_xlfn.IFS(M$2=1,'PRICE LIST'!L29,M$2=2,'PRICE LIST'!O29,$M$2=3,'PRICE LIST'!AA29,$M$2=4,H29*$H$2)</f>
        <v>56.7</v>
      </c>
      <c r="M29" s="339">
        <f t="shared" si="13"/>
        <v>0</v>
      </c>
      <c r="N29" s="376">
        <f t="shared" si="14"/>
        <v>0</v>
      </c>
      <c r="P29" s="339" t="e">
        <f t="shared" si="15"/>
        <v>#DIV/0!</v>
      </c>
      <c r="Q29" s="339">
        <f>N29*'MONTAJE CERR PROPIOS STE EP'!$C$18</f>
        <v>0</v>
      </c>
      <c r="S29" s="339" t="e">
        <f t="shared" si="16"/>
        <v>#DIV/0!</v>
      </c>
      <c r="T29" s="339">
        <f t="shared" si="16"/>
        <v>0</v>
      </c>
      <c r="W29" s="339" t="e">
        <f t="shared" si="17"/>
        <v>#DIV/0!</v>
      </c>
      <c r="X29" s="339">
        <f t="shared" si="18"/>
        <v>0</v>
      </c>
      <c r="Y29" s="315"/>
      <c r="Z29" s="315"/>
      <c r="AA29" s="315"/>
      <c r="AB29" s="315"/>
    </row>
    <row r="30" spans="3:35" ht="18" hidden="1" customHeight="1" thickBot="1" x14ac:dyDescent="0.3">
      <c r="C30" s="229" t="s">
        <v>803</v>
      </c>
      <c r="D30" s="314" t="s">
        <v>789</v>
      </c>
      <c r="E30" s="386">
        <f>IF(METRAJE!D21="RECERCADO A 4 CANTOS (e=80mm)",((METRAJE!G49+METRAJE!G50+METRAJE!G51+METRAJE!G52+METRAJE!E68)),0)</f>
        <v>0</v>
      </c>
      <c r="F30" s="315" t="s">
        <v>409</v>
      </c>
      <c r="H30" s="526">
        <f>'PRICE LIST'!H30</f>
        <v>44</v>
      </c>
      <c r="I30" s="526">
        <f t="shared" si="12"/>
        <v>0</v>
      </c>
      <c r="K30" s="316" cm="1">
        <f t="array" ref="K30">_xlfn.IFS(M$2=1,'PRICE LIST'!L30,M$2=2,'PRICE LIST'!O30,$M$2=3,'PRICE LIST'!AA30,$M$2=4,H30*$H$2)</f>
        <v>73.399999999999991</v>
      </c>
      <c r="M30" s="339">
        <f t="shared" si="13"/>
        <v>0</v>
      </c>
      <c r="N30" s="376">
        <f t="shared" si="14"/>
        <v>0</v>
      </c>
      <c r="P30" s="339" t="e">
        <f t="shared" si="15"/>
        <v>#DIV/0!</v>
      </c>
      <c r="Q30" s="339">
        <f>N30*'MONTAJE CERR PROPIOS STE EP'!$C$18</f>
        <v>0</v>
      </c>
      <c r="S30" s="339" t="e">
        <f t="shared" si="16"/>
        <v>#DIV/0!</v>
      </c>
      <c r="T30" s="339">
        <f t="shared" si="16"/>
        <v>0</v>
      </c>
      <c r="V30" s="315"/>
      <c r="W30" s="339" t="e">
        <f t="shared" si="17"/>
        <v>#DIV/0!</v>
      </c>
      <c r="X30" s="339">
        <f t="shared" si="18"/>
        <v>0</v>
      </c>
      <c r="Y30" s="315"/>
      <c r="Z30" s="315"/>
      <c r="AA30" s="315"/>
      <c r="AB30" s="315"/>
    </row>
    <row r="31" spans="3:35" ht="18" hidden="1" customHeight="1" x14ac:dyDescent="0.3">
      <c r="C31" s="229"/>
      <c r="E31" s="315"/>
      <c r="M31" s="339"/>
      <c r="N31" s="376"/>
      <c r="P31" s="339"/>
      <c r="Q31" s="339"/>
      <c r="S31" s="339"/>
      <c r="T31" s="339"/>
      <c r="V31" s="315"/>
      <c r="W31" s="339"/>
      <c r="X31" s="339"/>
      <c r="Y31" s="315"/>
      <c r="Z31" s="315"/>
      <c r="AA31" s="315"/>
      <c r="AB31" s="315"/>
    </row>
    <row r="32" spans="3:35" ht="16.5" hidden="1" customHeight="1" x14ac:dyDescent="0.4">
      <c r="C32" s="55"/>
      <c r="D32" s="55"/>
      <c r="E32" s="514"/>
      <c r="M32" s="339"/>
      <c r="P32" s="339"/>
      <c r="Q32" s="339"/>
      <c r="S32" s="339"/>
      <c r="T32" s="339"/>
      <c r="W32" s="339"/>
      <c r="X32" s="339"/>
    </row>
    <row r="33" spans="2:28" ht="15.75" hidden="1" customHeight="1" thickBot="1" x14ac:dyDescent="0.4">
      <c r="C33" s="55"/>
      <c r="D33" s="341" t="s">
        <v>1014</v>
      </c>
      <c r="E33" s="341"/>
      <c r="F33" s="342"/>
      <c r="M33" s="339"/>
      <c r="P33" s="339"/>
      <c r="Q33" s="339"/>
      <c r="S33" s="339"/>
      <c r="T33" s="339"/>
      <c r="W33" s="339"/>
      <c r="X33" s="339"/>
    </row>
    <row r="34" spans="2:28" ht="15.75" hidden="1" customHeight="1" thickBot="1" x14ac:dyDescent="0.3">
      <c r="C34" s="229" t="s">
        <v>790</v>
      </c>
      <c r="D34" s="314" t="s">
        <v>52</v>
      </c>
      <c r="E34" s="385">
        <v>0</v>
      </c>
      <c r="F34" s="315" t="s">
        <v>410</v>
      </c>
      <c r="H34" s="526">
        <f>'PRICE LIST'!H34</f>
        <v>32</v>
      </c>
      <c r="I34" s="526">
        <f t="shared" ref="I34:I40" si="19">H34*E34</f>
        <v>0</v>
      </c>
      <c r="K34" s="316" cm="1">
        <f t="array" ref="K34">_xlfn.IFS(M$2=1,'PRICE LIST'!L34,M$2=2,'PRICE LIST'!O34,$M$2=3,'PRICE LIST'!AA34,$M$2=4,H34*$H$2)</f>
        <v>49.300000000000004</v>
      </c>
      <c r="M34" s="339">
        <f t="shared" ref="M34:M40" si="20">K34*E34</f>
        <v>0</v>
      </c>
      <c r="N34" s="376">
        <f t="shared" ref="N34:N40" si="21">M34/$M$250</f>
        <v>0</v>
      </c>
      <c r="P34" s="339" t="e">
        <f t="shared" ref="P34:P40" si="22">Q34/E34</f>
        <v>#DIV/0!</v>
      </c>
      <c r="Q34" s="339">
        <f>N34*'MONTAJE CERR PROPIOS STE EP'!$C$18</f>
        <v>0</v>
      </c>
      <c r="S34" s="339" t="e">
        <f t="shared" ref="S34:T40" si="23">P34*FMONTAJE</f>
        <v>#DIV/0!</v>
      </c>
      <c r="T34" s="339">
        <f t="shared" si="23"/>
        <v>0</v>
      </c>
      <c r="W34" s="339" t="e">
        <f t="shared" ref="W34:W40" si="24">K34+S34</f>
        <v>#DIV/0!</v>
      </c>
      <c r="X34" s="339">
        <f t="shared" ref="X34:X40" si="25">M34+T34</f>
        <v>0</v>
      </c>
    </row>
    <row r="35" spans="2:28" ht="15.75" hidden="1" customHeight="1" thickBot="1" x14ac:dyDescent="0.3">
      <c r="C35" s="229" t="s">
        <v>791</v>
      </c>
      <c r="D35" s="314" t="s">
        <v>54</v>
      </c>
      <c r="E35" s="385">
        <v>0</v>
      </c>
      <c r="F35" s="315" t="s">
        <v>410</v>
      </c>
      <c r="H35" s="526">
        <f>'PRICE LIST'!H35</f>
        <v>5</v>
      </c>
      <c r="I35" s="526">
        <f t="shared" si="19"/>
        <v>0</v>
      </c>
      <c r="K35" s="316" cm="1">
        <f t="array" ref="K35">_xlfn.IFS(M$2=1,'PRICE LIST'!L35,M$2=2,'PRICE LIST'!O35,$M$2=3,'PRICE LIST'!AA35,$M$2=4,H35*$H$2)</f>
        <v>7.6999999999999993</v>
      </c>
      <c r="M35" s="339">
        <f t="shared" si="20"/>
        <v>0</v>
      </c>
      <c r="N35" s="376">
        <f t="shared" si="21"/>
        <v>0</v>
      </c>
      <c r="P35" s="339" t="e">
        <f t="shared" si="22"/>
        <v>#DIV/0!</v>
      </c>
      <c r="Q35" s="339">
        <f>N35*'MONTAJE CERR PROPIOS STE EP'!$C$18</f>
        <v>0</v>
      </c>
      <c r="S35" s="339" t="e">
        <f t="shared" si="23"/>
        <v>#DIV/0!</v>
      </c>
      <c r="T35" s="339">
        <f t="shared" si="23"/>
        <v>0</v>
      </c>
      <c r="W35" s="339" t="e">
        <f t="shared" si="24"/>
        <v>#DIV/0!</v>
      </c>
      <c r="X35" s="339">
        <f t="shared" si="25"/>
        <v>0</v>
      </c>
    </row>
    <row r="36" spans="2:28" ht="15.75" hidden="1" customHeight="1" thickBot="1" x14ac:dyDescent="0.3">
      <c r="C36" s="229" t="s">
        <v>792</v>
      </c>
      <c r="D36" s="314" t="s">
        <v>55</v>
      </c>
      <c r="E36" s="385">
        <v>0</v>
      </c>
      <c r="F36" s="315" t="s">
        <v>410</v>
      </c>
      <c r="H36" s="526">
        <f>'PRICE LIST'!H36</f>
        <v>0.8</v>
      </c>
      <c r="I36" s="526">
        <f t="shared" si="19"/>
        <v>0</v>
      </c>
      <c r="K36" s="316" cm="1">
        <f t="array" ref="K36">_xlfn.IFS(M$2=1,'PRICE LIST'!L36,M$2=2,'PRICE LIST'!O36,$M$2=3,'PRICE LIST'!AA36,$M$2=4,H36*$H$2)</f>
        <v>1.3</v>
      </c>
      <c r="M36" s="339">
        <f t="shared" si="20"/>
        <v>0</v>
      </c>
      <c r="N36" s="376">
        <f t="shared" si="21"/>
        <v>0</v>
      </c>
      <c r="P36" s="339" t="e">
        <f t="shared" si="22"/>
        <v>#DIV/0!</v>
      </c>
      <c r="Q36" s="339">
        <f>N36*'MONTAJE CERR PROPIOS STE EP'!$C$18</f>
        <v>0</v>
      </c>
      <c r="S36" s="339" t="e">
        <f t="shared" si="23"/>
        <v>#DIV/0!</v>
      </c>
      <c r="T36" s="339">
        <f t="shared" si="23"/>
        <v>0</v>
      </c>
      <c r="W36" s="339" t="e">
        <f t="shared" si="24"/>
        <v>#DIV/0!</v>
      </c>
      <c r="X36" s="339">
        <f t="shared" si="25"/>
        <v>0</v>
      </c>
    </row>
    <row r="37" spans="2:28" ht="15.75" hidden="1" customHeight="1" thickBot="1" x14ac:dyDescent="0.3">
      <c r="C37" s="229" t="s">
        <v>800</v>
      </c>
      <c r="D37" s="314" t="s">
        <v>786</v>
      </c>
      <c r="E37" s="386">
        <f>IF(METRAJE!D22="RECERCADO A 2 CANTOS (e=60mm)",((METRAJE!I43)),0)</f>
        <v>0</v>
      </c>
      <c r="F37" s="315" t="s">
        <v>409</v>
      </c>
      <c r="H37" s="526">
        <f>'PRICE LIST'!H37</f>
        <v>30</v>
      </c>
      <c r="I37" s="526">
        <f t="shared" si="19"/>
        <v>0</v>
      </c>
      <c r="K37" s="316" cm="1">
        <f t="array" ref="K37">_xlfn.IFS(M$2=1,'PRICE LIST'!L37,M$2=2,'PRICE LIST'!O37,$M$2=3,'PRICE LIST'!AA37,$M$2=4,H37*$H$2)</f>
        <v>50</v>
      </c>
      <c r="M37" s="339">
        <f t="shared" si="20"/>
        <v>0</v>
      </c>
      <c r="N37" s="376">
        <f t="shared" si="21"/>
        <v>0</v>
      </c>
      <c r="P37" s="339" t="e">
        <f t="shared" si="22"/>
        <v>#DIV/0!</v>
      </c>
      <c r="Q37" s="339">
        <f>N37*'MONTAJE CERR PROPIOS STE EP'!$C$18</f>
        <v>0</v>
      </c>
      <c r="S37" s="339" t="e">
        <f t="shared" si="23"/>
        <v>#DIV/0!</v>
      </c>
      <c r="T37" s="339">
        <f t="shared" si="23"/>
        <v>0</v>
      </c>
      <c r="W37" s="339" t="e">
        <f t="shared" si="24"/>
        <v>#DIV/0!</v>
      </c>
      <c r="X37" s="339">
        <f t="shared" si="25"/>
        <v>0</v>
      </c>
    </row>
    <row r="38" spans="2:28" ht="15.75" hidden="1" customHeight="1" thickBot="1" x14ac:dyDescent="0.3">
      <c r="C38" s="229" t="s">
        <v>802</v>
      </c>
      <c r="D38" s="314" t="s">
        <v>787</v>
      </c>
      <c r="E38" s="386">
        <f>IF(METRAJE!D22="RECERCADO A 4 CANTOS (e=60mm)",((METRAJE!I43)),0)</f>
        <v>0</v>
      </c>
      <c r="F38" s="315" t="s">
        <v>409</v>
      </c>
      <c r="H38" s="526">
        <f>'PRICE LIST'!H38</f>
        <v>38</v>
      </c>
      <c r="I38" s="526">
        <f t="shared" si="19"/>
        <v>0</v>
      </c>
      <c r="K38" s="316" cm="1">
        <f t="array" ref="K38">_xlfn.IFS(M$2=1,'PRICE LIST'!L38,M$2=2,'PRICE LIST'!O38,$M$2=3,'PRICE LIST'!AA38,$M$2=4,H38*$H$2)</f>
        <v>63.4</v>
      </c>
      <c r="M38" s="339">
        <f t="shared" si="20"/>
        <v>0</v>
      </c>
      <c r="N38" s="376">
        <f t="shared" si="21"/>
        <v>0</v>
      </c>
      <c r="P38" s="339" t="e">
        <f t="shared" si="22"/>
        <v>#DIV/0!</v>
      </c>
      <c r="Q38" s="339">
        <f>N38*'MONTAJE CERR PROPIOS STE EP'!$C$18</f>
        <v>0</v>
      </c>
      <c r="S38" s="339" t="e">
        <f t="shared" si="23"/>
        <v>#DIV/0!</v>
      </c>
      <c r="T38" s="339">
        <f t="shared" si="23"/>
        <v>0</v>
      </c>
      <c r="W38" s="339" t="e">
        <f t="shared" si="24"/>
        <v>#DIV/0!</v>
      </c>
      <c r="X38" s="339">
        <f t="shared" si="25"/>
        <v>0</v>
      </c>
    </row>
    <row r="39" spans="2:28" ht="15.75" hidden="1" customHeight="1" thickBot="1" x14ac:dyDescent="0.3">
      <c r="C39" s="229" t="s">
        <v>801</v>
      </c>
      <c r="D39" s="314" t="s">
        <v>788</v>
      </c>
      <c r="E39" s="386">
        <f>IF(METRAJE!D22="RECERCADO A 2 CANTOS (e=80mm)",((METRAJE!I43)),0)</f>
        <v>0</v>
      </c>
      <c r="F39" s="315" t="s">
        <v>409</v>
      </c>
      <c r="H39" s="526">
        <f>'PRICE LIST'!H39</f>
        <v>34</v>
      </c>
      <c r="I39" s="526">
        <f t="shared" si="19"/>
        <v>0</v>
      </c>
      <c r="K39" s="316" cm="1">
        <f t="array" ref="K39">_xlfn.IFS(M$2=1,'PRICE LIST'!L39,M$2=2,'PRICE LIST'!O39,$M$2=3,'PRICE LIST'!AA39,$M$2=4,H39*$H$2)</f>
        <v>56.7</v>
      </c>
      <c r="M39" s="339">
        <f t="shared" si="20"/>
        <v>0</v>
      </c>
      <c r="N39" s="376">
        <f t="shared" si="21"/>
        <v>0</v>
      </c>
      <c r="P39" s="339" t="e">
        <f t="shared" si="22"/>
        <v>#DIV/0!</v>
      </c>
      <c r="Q39" s="339">
        <f>N39*'MONTAJE CERR PROPIOS STE EP'!$C$18</f>
        <v>0</v>
      </c>
      <c r="S39" s="339" t="e">
        <f t="shared" si="23"/>
        <v>#DIV/0!</v>
      </c>
      <c r="T39" s="339">
        <f t="shared" si="23"/>
        <v>0</v>
      </c>
      <c r="W39" s="339" t="e">
        <f t="shared" si="24"/>
        <v>#DIV/0!</v>
      </c>
      <c r="X39" s="339">
        <f t="shared" si="25"/>
        <v>0</v>
      </c>
    </row>
    <row r="40" spans="2:28" ht="18" hidden="1" customHeight="1" thickBot="1" x14ac:dyDescent="0.3">
      <c r="C40" s="229" t="s">
        <v>803</v>
      </c>
      <c r="D40" s="314" t="s">
        <v>789</v>
      </c>
      <c r="E40" s="386">
        <f>IF(METRAJE!D22="RECERCADO A 4 CANTOS (e=80mm)",((METRAJE!I43)),0)</f>
        <v>0</v>
      </c>
      <c r="F40" s="315" t="s">
        <v>409</v>
      </c>
      <c r="H40" s="526">
        <f>'PRICE LIST'!H40</f>
        <v>44</v>
      </c>
      <c r="I40" s="526">
        <f t="shared" si="19"/>
        <v>0</v>
      </c>
      <c r="K40" s="316" cm="1">
        <f t="array" ref="K40">_xlfn.IFS(M$2=1,'PRICE LIST'!L40,M$2=2,'PRICE LIST'!O40,$M$2=3,'PRICE LIST'!AA40,$M$2=4,H40*$H$2)</f>
        <v>73.399999999999991</v>
      </c>
      <c r="M40" s="339">
        <f t="shared" si="20"/>
        <v>0</v>
      </c>
      <c r="N40" s="376">
        <f t="shared" si="21"/>
        <v>0</v>
      </c>
      <c r="P40" s="339" t="e">
        <f t="shared" si="22"/>
        <v>#DIV/0!</v>
      </c>
      <c r="Q40" s="339">
        <f>N40*'MONTAJE CERR PROPIOS STE EP'!$C$18</f>
        <v>0</v>
      </c>
      <c r="S40" s="339" t="e">
        <f t="shared" si="23"/>
        <v>#DIV/0!</v>
      </c>
      <c r="T40" s="339">
        <f t="shared" si="23"/>
        <v>0</v>
      </c>
      <c r="W40" s="339" t="e">
        <f t="shared" si="24"/>
        <v>#DIV/0!</v>
      </c>
      <c r="X40" s="339">
        <f t="shared" si="25"/>
        <v>0</v>
      </c>
    </row>
    <row r="41" spans="2:28" ht="15" hidden="1" customHeight="1" x14ac:dyDescent="0.3">
      <c r="C41" s="229"/>
      <c r="E41" s="315"/>
      <c r="M41" s="339"/>
      <c r="S41" s="339"/>
      <c r="X41" s="339"/>
    </row>
    <row r="42" spans="2:28" ht="15" hidden="1" customHeight="1" x14ac:dyDescent="0.3">
      <c r="M42" s="339"/>
      <c r="X42" s="339"/>
    </row>
    <row r="43" spans="2:28" ht="15.75" hidden="1" customHeight="1" thickBot="1" x14ac:dyDescent="0.35">
      <c r="B43" s="336" t="s">
        <v>56</v>
      </c>
      <c r="C43" s="336"/>
      <c r="D43" s="336" t="s">
        <v>57</v>
      </c>
      <c r="E43" s="336"/>
      <c r="F43" s="338"/>
      <c r="G43" s="338"/>
      <c r="M43" s="339"/>
      <c r="P43" s="339"/>
      <c r="Q43" s="339"/>
      <c r="S43" s="339"/>
      <c r="T43" s="339"/>
      <c r="V43" s="315"/>
      <c r="W43" s="339"/>
      <c r="X43" s="339"/>
      <c r="Y43" s="315"/>
      <c r="Z43" s="315"/>
      <c r="AA43" s="315"/>
      <c r="AB43" s="315"/>
    </row>
    <row r="44" spans="2:28" ht="15.75" hidden="1" customHeight="1" thickBot="1" x14ac:dyDescent="0.4">
      <c r="B44" s="55" t="s">
        <v>960</v>
      </c>
      <c r="C44" s="535" t="s">
        <v>804</v>
      </c>
      <c r="D44" s="343" t="s">
        <v>58</v>
      </c>
      <c r="E44" s="386">
        <f>(METRAJE!E28*METRAJE!H12)*1.05</f>
        <v>0</v>
      </c>
      <c r="F44" s="315" t="s">
        <v>409</v>
      </c>
      <c r="H44" s="526">
        <f>'PRICE LIST'!H45</f>
        <v>34.83</v>
      </c>
      <c r="I44" s="526">
        <f t="shared" ref="I44:I50" si="26">H44*E44</f>
        <v>0</v>
      </c>
      <c r="K44" s="316" cm="1">
        <f t="array" ref="K44">_xlfn.IFS(M$2=1,'PRICE LIST'!L45,M$2=2,'PRICE LIST'!O45,$M$2=3,'PRICE LIST'!AA45,$M$2=4,H44*$H$2)</f>
        <v>63.4</v>
      </c>
      <c r="M44" s="339">
        <f t="shared" ref="M44:M50" si="27">K44*E44</f>
        <v>0</v>
      </c>
      <c r="N44" s="376">
        <f t="shared" ref="N44:N50" si="28">M44/$M$250</f>
        <v>0</v>
      </c>
      <c r="P44" s="339" t="e">
        <f t="shared" ref="P44:P50" si="29">Q44/E44</f>
        <v>#DIV/0!</v>
      </c>
      <c r="Q44" s="339">
        <f>N44*'MONTAJE CERR PROPIOS STE EP'!$C$18</f>
        <v>0</v>
      </c>
      <c r="S44" s="339" t="e">
        <f t="shared" ref="S44:T50" si="30">P44*FMONTAJE</f>
        <v>#DIV/0!</v>
      </c>
      <c r="T44" s="339">
        <f t="shared" si="30"/>
        <v>0</v>
      </c>
      <c r="V44" s="315"/>
      <c r="W44" s="339" t="e">
        <f t="shared" ref="W44:W55" si="31">K44+S44</f>
        <v>#DIV/0!</v>
      </c>
      <c r="X44" s="339">
        <f t="shared" ref="X44:X55" si="32">M44+T44</f>
        <v>0</v>
      </c>
      <c r="Y44" s="315"/>
      <c r="Z44" s="315"/>
      <c r="AA44" s="315"/>
      <c r="AB44" s="315"/>
    </row>
    <row r="45" spans="2:28" ht="15" hidden="1" thickBot="1" x14ac:dyDescent="0.4">
      <c r="B45" s="55" t="s">
        <v>961</v>
      </c>
      <c r="C45" s="535" t="s">
        <v>805</v>
      </c>
      <c r="D45" s="343" t="s">
        <v>59</v>
      </c>
      <c r="E45" s="385">
        <v>0</v>
      </c>
      <c r="F45" s="315" t="s">
        <v>215</v>
      </c>
      <c r="H45" s="526">
        <f>'PRICE LIST'!H46</f>
        <v>1.9</v>
      </c>
      <c r="I45" s="526">
        <f t="shared" si="26"/>
        <v>0</v>
      </c>
      <c r="K45" s="316" cm="1">
        <f t="array" ref="K45">_xlfn.IFS(M$2=1,'PRICE LIST'!L46,M$2=2,'PRICE LIST'!O46,$M$2=3,'PRICE LIST'!AA46,$M$2=4,H45*$H$2)</f>
        <v>3.1</v>
      </c>
      <c r="M45" s="339">
        <f t="shared" si="27"/>
        <v>0</v>
      </c>
      <c r="N45" s="376">
        <f t="shared" si="28"/>
        <v>0</v>
      </c>
      <c r="P45" s="339" t="e">
        <f t="shared" si="29"/>
        <v>#DIV/0!</v>
      </c>
      <c r="Q45" s="339">
        <f>N45*'MONTAJE CERR PROPIOS STE EP'!$C$18</f>
        <v>0</v>
      </c>
      <c r="S45" s="339" t="e">
        <f t="shared" si="30"/>
        <v>#DIV/0!</v>
      </c>
      <c r="T45" s="339">
        <f t="shared" si="30"/>
        <v>0</v>
      </c>
      <c r="V45" s="315"/>
      <c r="W45" s="339" t="e">
        <f t="shared" si="31"/>
        <v>#DIV/0!</v>
      </c>
      <c r="X45" s="339">
        <f t="shared" si="32"/>
        <v>0</v>
      </c>
      <c r="Y45" s="315"/>
      <c r="Z45" s="315"/>
      <c r="AA45" s="315"/>
      <c r="AB45" s="315"/>
    </row>
    <row r="46" spans="2:28" ht="15.75" hidden="1" customHeight="1" thickBot="1" x14ac:dyDescent="0.4">
      <c r="B46" s="55" t="s">
        <v>962</v>
      </c>
      <c r="C46" s="535" t="s">
        <v>806</v>
      </c>
      <c r="D46" s="343" t="s">
        <v>61</v>
      </c>
      <c r="E46" s="386">
        <f>(METRAJE!E28*2)+((METRAJE!E28/2)*METRAJE!H12*2)</f>
        <v>0</v>
      </c>
      <c r="F46" s="315" t="s">
        <v>215</v>
      </c>
      <c r="H46" s="526">
        <f>'PRICE LIST'!H47</f>
        <v>9.8864000000000001</v>
      </c>
      <c r="I46" s="526">
        <f t="shared" si="26"/>
        <v>0</v>
      </c>
      <c r="K46" s="316" cm="1">
        <f t="array" ref="K46">_xlfn.IFS(M$2=1,'PRICE LIST'!L47,M$2=2,'PRICE LIST'!O47,$M$2=3,'PRICE LIST'!AA47,$M$2=4,H46*$H$2)</f>
        <v>14.4</v>
      </c>
      <c r="M46" s="339">
        <f t="shared" si="27"/>
        <v>0</v>
      </c>
      <c r="N46" s="376">
        <f t="shared" si="28"/>
        <v>0</v>
      </c>
      <c r="P46" s="339" t="e">
        <f t="shared" si="29"/>
        <v>#DIV/0!</v>
      </c>
      <c r="Q46" s="339">
        <f>N46*'MONTAJE CERR PROPIOS STE EP'!$C$18</f>
        <v>0</v>
      </c>
      <c r="S46" s="339" t="e">
        <f t="shared" si="30"/>
        <v>#DIV/0!</v>
      </c>
      <c r="T46" s="339">
        <f t="shared" si="30"/>
        <v>0</v>
      </c>
      <c r="V46" s="315"/>
      <c r="W46" s="339" t="e">
        <f t="shared" si="31"/>
        <v>#DIV/0!</v>
      </c>
      <c r="X46" s="339">
        <f t="shared" si="32"/>
        <v>0</v>
      </c>
      <c r="Y46" s="315"/>
      <c r="Z46" s="315"/>
      <c r="AA46" s="315"/>
      <c r="AB46" s="315"/>
    </row>
    <row r="47" spans="2:28" ht="15" hidden="1" thickBot="1" x14ac:dyDescent="0.4">
      <c r="B47" s="55" t="s">
        <v>963</v>
      </c>
      <c r="C47" s="535" t="s">
        <v>807</v>
      </c>
      <c r="D47" s="343" t="s">
        <v>62</v>
      </c>
      <c r="E47" s="386">
        <f>(METRAJE!E28*2)+((METRAJE!E28/2)*METRAJE!H12*2)</f>
        <v>0</v>
      </c>
      <c r="F47" s="315" t="s">
        <v>215</v>
      </c>
      <c r="H47" s="526">
        <f>'PRICE LIST'!H48</f>
        <v>1.1475</v>
      </c>
      <c r="I47" s="526">
        <f t="shared" si="26"/>
        <v>0</v>
      </c>
      <c r="K47" s="316" cm="1">
        <f t="array" ref="K47">_xlfn.IFS(M$2=1,'PRICE LIST'!L48,M$2=2,'PRICE LIST'!O48,$M$2=3,'PRICE LIST'!AA48,$M$2=4,H47*$H$2)</f>
        <v>2.3000000000000003</v>
      </c>
      <c r="M47" s="339">
        <f t="shared" si="27"/>
        <v>0</v>
      </c>
      <c r="N47" s="376">
        <f t="shared" si="28"/>
        <v>0</v>
      </c>
      <c r="P47" s="339" t="e">
        <f t="shared" si="29"/>
        <v>#DIV/0!</v>
      </c>
      <c r="Q47" s="339">
        <f>N47*'MONTAJE CERR PROPIOS STE EP'!$C$18</f>
        <v>0</v>
      </c>
      <c r="S47" s="339" t="e">
        <f t="shared" si="30"/>
        <v>#DIV/0!</v>
      </c>
      <c r="T47" s="339">
        <f t="shared" si="30"/>
        <v>0</v>
      </c>
      <c r="V47" s="315"/>
      <c r="W47" s="339" t="e">
        <f t="shared" si="31"/>
        <v>#DIV/0!</v>
      </c>
      <c r="X47" s="339">
        <f t="shared" si="32"/>
        <v>0</v>
      </c>
      <c r="Y47" s="315"/>
      <c r="Z47" s="315"/>
      <c r="AA47" s="315"/>
      <c r="AB47" s="315"/>
    </row>
    <row r="48" spans="2:28" ht="15.75" hidden="1" customHeight="1" thickBot="1" x14ac:dyDescent="0.4">
      <c r="B48" s="55" t="s">
        <v>964</v>
      </c>
      <c r="C48" s="535" t="s">
        <v>808</v>
      </c>
      <c r="D48" s="343" t="s">
        <v>63</v>
      </c>
      <c r="E48" s="386">
        <f>(METRAJE!E28*2)+((METRAJE!E28/2)*METRAJE!H12*2)</f>
        <v>0</v>
      </c>
      <c r="F48" s="315" t="s">
        <v>215</v>
      </c>
      <c r="H48" s="526">
        <f>'PRICE LIST'!H49</f>
        <v>1.4057999999999999</v>
      </c>
      <c r="I48" s="526">
        <f t="shared" si="26"/>
        <v>0</v>
      </c>
      <c r="K48" s="316" cm="1">
        <f t="array" ref="K48">_xlfn.IFS(M$2=1,'PRICE LIST'!L49,M$2=2,'PRICE LIST'!O49,$M$2=3,'PRICE LIST'!AA49,$M$2=4,H48*$H$2)</f>
        <v>2.5</v>
      </c>
      <c r="M48" s="339">
        <f t="shared" si="27"/>
        <v>0</v>
      </c>
      <c r="N48" s="376">
        <f t="shared" si="28"/>
        <v>0</v>
      </c>
      <c r="P48" s="339" t="e">
        <f t="shared" si="29"/>
        <v>#DIV/0!</v>
      </c>
      <c r="Q48" s="339">
        <f>N48*'MONTAJE CERR PROPIOS STE EP'!$C$18</f>
        <v>0</v>
      </c>
      <c r="S48" s="339" t="e">
        <f t="shared" si="30"/>
        <v>#DIV/0!</v>
      </c>
      <c r="T48" s="339">
        <f t="shared" si="30"/>
        <v>0</v>
      </c>
      <c r="V48" s="315"/>
      <c r="W48" s="339" t="e">
        <f t="shared" si="31"/>
        <v>#DIV/0!</v>
      </c>
      <c r="X48" s="339">
        <f t="shared" si="32"/>
        <v>0</v>
      </c>
      <c r="Y48" s="315"/>
      <c r="Z48" s="315"/>
      <c r="AA48" s="315"/>
      <c r="AB48" s="315"/>
    </row>
    <row r="49" spans="2:28" ht="15.75" hidden="1" customHeight="1" thickBot="1" x14ac:dyDescent="0.4">
      <c r="B49" s="55"/>
      <c r="C49" s="535" t="s">
        <v>929</v>
      </c>
      <c r="D49" s="343" t="s">
        <v>64</v>
      </c>
      <c r="E49" s="386">
        <f>METRAJE!E29</f>
        <v>0</v>
      </c>
      <c r="F49" s="315" t="s">
        <v>215</v>
      </c>
      <c r="H49" s="526">
        <f>'PRICE LIST'!H50</f>
        <v>371</v>
      </c>
      <c r="I49" s="526">
        <f t="shared" si="26"/>
        <v>0</v>
      </c>
      <c r="K49" s="316" cm="1">
        <f t="array" ref="K49">_xlfn.IFS(M$2=1,'PRICE LIST'!L50,M$2=2,'PRICE LIST'!O50,$M$2=3,'PRICE LIST'!AA50,$M$2=4,H49*$H$2)</f>
        <v>639.70000000000005</v>
      </c>
      <c r="M49" s="339">
        <f t="shared" si="27"/>
        <v>0</v>
      </c>
      <c r="N49" s="376">
        <f t="shared" si="28"/>
        <v>0</v>
      </c>
      <c r="P49" s="339" t="e">
        <f t="shared" si="29"/>
        <v>#DIV/0!</v>
      </c>
      <c r="Q49" s="339">
        <f>N49*'MONTAJE CERR PROPIOS STE EP'!$C$18</f>
        <v>0</v>
      </c>
      <c r="S49" s="339" t="e">
        <f t="shared" si="30"/>
        <v>#DIV/0!</v>
      </c>
      <c r="T49" s="339">
        <f t="shared" si="30"/>
        <v>0</v>
      </c>
      <c r="V49" s="315"/>
      <c r="W49" s="339" t="e">
        <f t="shared" si="31"/>
        <v>#DIV/0!</v>
      </c>
      <c r="X49" s="339">
        <f t="shared" si="32"/>
        <v>0</v>
      </c>
      <c r="Y49" s="315"/>
      <c r="Z49" s="315"/>
      <c r="AA49" s="315"/>
      <c r="AB49" s="315"/>
    </row>
    <row r="50" spans="2:28" ht="15.75" hidden="1" customHeight="1" thickBot="1" x14ac:dyDescent="0.4">
      <c r="B50" s="55"/>
      <c r="C50" s="535" t="s">
        <v>809</v>
      </c>
      <c r="D50" s="343" t="s">
        <v>411</v>
      </c>
      <c r="E50" s="385">
        <v>0</v>
      </c>
      <c r="F50" s="315" t="s">
        <v>65</v>
      </c>
      <c r="H50" s="526">
        <v>220</v>
      </c>
      <c r="I50" s="526">
        <f t="shared" si="26"/>
        <v>0</v>
      </c>
      <c r="M50" s="339">
        <f t="shared" si="27"/>
        <v>0</v>
      </c>
      <c r="N50" s="376">
        <f t="shared" si="28"/>
        <v>0</v>
      </c>
      <c r="P50" s="339" t="e">
        <f t="shared" si="29"/>
        <v>#DIV/0!</v>
      </c>
      <c r="Q50" s="339">
        <f>N50*'MONTAJE CERR PROPIOS STE EP'!$C$18</f>
        <v>0</v>
      </c>
      <c r="S50" s="339" t="e">
        <f t="shared" si="30"/>
        <v>#DIV/0!</v>
      </c>
      <c r="T50" s="339">
        <f t="shared" si="30"/>
        <v>0</v>
      </c>
      <c r="V50" s="315"/>
      <c r="W50" s="339" t="e">
        <f t="shared" si="31"/>
        <v>#DIV/0!</v>
      </c>
      <c r="X50" s="339">
        <f t="shared" si="32"/>
        <v>0</v>
      </c>
      <c r="Y50" s="315"/>
      <c r="Z50" s="315"/>
      <c r="AA50" s="315"/>
      <c r="AB50" s="315"/>
    </row>
    <row r="51" spans="2:28" ht="15.75" hidden="1" customHeight="1" x14ac:dyDescent="0.4">
      <c r="M51" s="339"/>
      <c r="P51" s="339"/>
      <c r="Q51" s="339"/>
      <c r="S51" s="339"/>
      <c r="T51" s="339"/>
      <c r="V51" s="315"/>
      <c r="W51" s="339"/>
      <c r="X51" s="339"/>
      <c r="Y51" s="315"/>
      <c r="Z51" s="71"/>
      <c r="AA51" s="305"/>
      <c r="AB51" s="315"/>
    </row>
    <row r="52" spans="2:28" ht="15.75" hidden="1" customHeight="1" x14ac:dyDescent="0.4">
      <c r="B52" s="73"/>
      <c r="C52" s="73"/>
      <c r="D52" s="73" t="s">
        <v>66</v>
      </c>
      <c r="E52" s="73"/>
      <c r="F52" s="108"/>
      <c r="G52" s="109"/>
      <c r="H52" s="528"/>
      <c r="I52" s="528"/>
      <c r="J52" s="71"/>
      <c r="K52" s="347"/>
      <c r="L52" s="441"/>
      <c r="M52" s="347"/>
      <c r="N52" s="75"/>
      <c r="O52" s="440"/>
      <c r="P52" s="347"/>
      <c r="Q52" s="347"/>
      <c r="R52"/>
      <c r="S52" s="345"/>
      <c r="T52" s="345"/>
      <c r="U52"/>
      <c r="V52" s="55"/>
      <c r="W52" s="75"/>
      <c r="X52" s="75"/>
      <c r="Y52" s="55"/>
      <c r="Z52" s="71"/>
      <c r="AA52" s="305"/>
      <c r="AB52" s="315"/>
    </row>
    <row r="53" spans="2:28" ht="15.75" hidden="1" customHeight="1" thickBot="1" x14ac:dyDescent="0.4">
      <c r="B53" s="55"/>
      <c r="C53" s="55"/>
      <c r="D53" s="55"/>
      <c r="E53" s="55"/>
      <c r="F53" s="62"/>
      <c r="I53" s="529"/>
      <c r="J53" s="71"/>
      <c r="L53" s="441"/>
      <c r="M53" s="339"/>
      <c r="N53" s="71"/>
      <c r="O53" s="440"/>
      <c r="P53" s="339"/>
      <c r="Q53" s="339"/>
      <c r="R53"/>
      <c r="S53" s="339"/>
      <c r="T53" s="339"/>
      <c r="U53"/>
      <c r="V53" s="55"/>
      <c r="W53" s="339"/>
      <c r="X53" s="339"/>
      <c r="Y53" s="55"/>
      <c r="Z53" s="71"/>
      <c r="AA53" s="305"/>
      <c r="AB53" s="315"/>
    </row>
    <row r="54" spans="2:28" ht="15.75" hidden="1" customHeight="1" thickBot="1" x14ac:dyDescent="0.4">
      <c r="B54" s="55"/>
      <c r="C54" s="535" t="s">
        <v>810</v>
      </c>
      <c r="D54" s="314" t="s">
        <v>67</v>
      </c>
      <c r="E54" s="386">
        <f>METRAJE!H46</f>
        <v>0</v>
      </c>
      <c r="F54" s="62"/>
      <c r="H54" s="530">
        <f>'PRICE LIST'!H55</f>
        <v>17.5</v>
      </c>
      <c r="I54" s="526">
        <f t="shared" ref="I54:I55" si="33">H54*E54</f>
        <v>0</v>
      </c>
      <c r="J54" s="71"/>
      <c r="K54" s="316" cm="1">
        <f t="array" ref="K54">_xlfn.IFS(M$2=1,'PRICE LIST'!L55,M$2=2,'PRICE LIST'!O55,$M$2=3,'PRICE LIST'!AA55,$M$2=4,H54*$H$2)</f>
        <v>30.200000000000003</v>
      </c>
      <c r="L54" s="441"/>
      <c r="M54" s="339">
        <f t="shared" ref="M54:M55" si="34">K54*E54</f>
        <v>0</v>
      </c>
      <c r="N54" s="376">
        <f>M54/$M$250</f>
        <v>0</v>
      </c>
      <c r="O54" s="440"/>
      <c r="P54" s="339" t="e">
        <f t="shared" ref="P54:P55" si="35">Q54/E54</f>
        <v>#DIV/0!</v>
      </c>
      <c r="Q54" s="339">
        <f>N54*'MONTAJE CERR PROPIOS STE EP'!$C$18</f>
        <v>0</v>
      </c>
      <c r="R54"/>
      <c r="S54" s="339" t="e">
        <f t="shared" ref="S54:S55" si="36">P54*FMONTAJE</f>
        <v>#DIV/0!</v>
      </c>
      <c r="T54" s="339">
        <f t="shared" ref="T54:T55" si="37">Q54*FMONTAJE</f>
        <v>0</v>
      </c>
      <c r="U54"/>
      <c r="V54" s="55"/>
      <c r="W54" s="339" t="e">
        <f t="shared" si="31"/>
        <v>#DIV/0!</v>
      </c>
      <c r="X54" s="339">
        <f t="shared" si="32"/>
        <v>0</v>
      </c>
      <c r="Y54" s="55"/>
      <c r="Z54" s="71"/>
      <c r="AA54" s="305"/>
      <c r="AB54" s="315"/>
    </row>
    <row r="55" spans="2:28" ht="15.75" hidden="1" customHeight="1" thickBot="1" x14ac:dyDescent="0.4">
      <c r="B55" s="55"/>
      <c r="C55" s="535" t="s">
        <v>811</v>
      </c>
      <c r="D55" s="314" t="s">
        <v>412</v>
      </c>
      <c r="E55" s="386">
        <f>METRAJE!I46</f>
        <v>0</v>
      </c>
      <c r="F55" s="62"/>
      <c r="H55" s="530">
        <f>'PRICE LIST'!H56</f>
        <v>0</v>
      </c>
      <c r="I55" s="526">
        <f t="shared" si="33"/>
        <v>0</v>
      </c>
      <c r="J55" s="71"/>
      <c r="K55" s="316" cm="1">
        <f t="array" ref="K55">_xlfn.IFS(M$2=1,'PRICE LIST'!L56,M$2=2,'PRICE LIST'!O56,$M$2=3,'PRICE LIST'!AA56,$M$2=4,H55*$H$2)</f>
        <v>0</v>
      </c>
      <c r="L55" s="441"/>
      <c r="M55" s="339">
        <f t="shared" si="34"/>
        <v>0</v>
      </c>
      <c r="N55" s="376">
        <f>M55/$M$250</f>
        <v>0</v>
      </c>
      <c r="O55" s="440"/>
      <c r="P55" s="339" t="e">
        <f t="shared" si="35"/>
        <v>#DIV/0!</v>
      </c>
      <c r="Q55" s="339">
        <f>N55*'MONTAJE CERR PROPIOS STE EP'!$C$18</f>
        <v>0</v>
      </c>
      <c r="R55"/>
      <c r="S55" s="339" t="e">
        <f t="shared" si="36"/>
        <v>#DIV/0!</v>
      </c>
      <c r="T55" s="339">
        <f t="shared" si="37"/>
        <v>0</v>
      </c>
      <c r="U55"/>
      <c r="V55" s="55"/>
      <c r="W55" s="339" t="e">
        <f t="shared" si="31"/>
        <v>#DIV/0!</v>
      </c>
      <c r="X55" s="339">
        <f t="shared" si="32"/>
        <v>0</v>
      </c>
      <c r="Y55" s="55"/>
      <c r="Z55" s="71"/>
      <c r="AA55" s="305"/>
      <c r="AB55" s="315"/>
    </row>
    <row r="56" spans="2:28" ht="15.75" hidden="1" customHeight="1" x14ac:dyDescent="0.4">
      <c r="B56" s="55"/>
      <c r="C56" s="55"/>
      <c r="D56" s="55"/>
      <c r="E56" s="55"/>
      <c r="F56" s="62"/>
      <c r="I56" s="529"/>
      <c r="J56" s="71"/>
      <c r="L56" s="441"/>
      <c r="M56" s="339"/>
      <c r="N56" s="71"/>
      <c r="O56" s="440"/>
      <c r="P56" s="339"/>
      <c r="Q56" s="339"/>
      <c r="R56"/>
      <c r="S56" s="339"/>
      <c r="T56" s="339"/>
      <c r="U56"/>
      <c r="V56" s="55"/>
      <c r="W56" s="339"/>
      <c r="X56" s="339"/>
      <c r="Y56" s="55"/>
      <c r="Z56" s="71"/>
      <c r="AA56" s="305"/>
      <c r="AB56" s="315"/>
    </row>
    <row r="57" spans="2:28" ht="15.75" hidden="1" customHeight="1" x14ac:dyDescent="0.4">
      <c r="B57" s="313"/>
      <c r="C57" s="313"/>
      <c r="D57" s="313" t="s">
        <v>413</v>
      </c>
      <c r="E57" s="313"/>
      <c r="F57" s="344"/>
      <c r="G57" s="344"/>
      <c r="H57" s="531"/>
      <c r="I57" s="531"/>
      <c r="J57" s="346"/>
      <c r="K57" s="347"/>
      <c r="L57" s="441"/>
      <c r="M57" s="347"/>
      <c r="N57" s="345"/>
      <c r="O57" s="346"/>
      <c r="P57" s="347"/>
      <c r="Q57" s="347"/>
      <c r="R57" s="346"/>
      <c r="S57" s="347"/>
      <c r="T57" s="347"/>
      <c r="V57" s="315"/>
      <c r="W57" s="75"/>
      <c r="X57" s="75"/>
      <c r="Y57" s="315"/>
      <c r="Z57" s="315"/>
      <c r="AA57" s="315"/>
      <c r="AB57" s="315"/>
    </row>
    <row r="58" spans="2:28" ht="15.75" hidden="1" customHeight="1" x14ac:dyDescent="0.4">
      <c r="B58" s="55"/>
      <c r="C58" s="55"/>
      <c r="D58" s="55"/>
      <c r="E58" s="55"/>
      <c r="F58" s="62"/>
      <c r="I58" s="529"/>
      <c r="J58" s="71"/>
      <c r="L58" s="441"/>
      <c r="M58" s="339"/>
      <c r="N58" s="71"/>
      <c r="O58" s="440"/>
      <c r="P58" s="339"/>
      <c r="Q58" s="339"/>
      <c r="R58"/>
      <c r="S58" s="339"/>
      <c r="T58" s="339"/>
      <c r="U58"/>
      <c r="V58" s="55"/>
      <c r="W58" s="339"/>
      <c r="X58" s="339"/>
      <c r="Y58" s="55"/>
      <c r="Z58" s="71"/>
      <c r="AA58" s="305"/>
      <c r="AB58" s="315"/>
    </row>
    <row r="59" spans="2:28" ht="15.75" hidden="1" customHeight="1" thickBot="1" x14ac:dyDescent="0.35">
      <c r="B59" s="336"/>
      <c r="C59" s="336"/>
      <c r="D59" s="336" t="s">
        <v>71</v>
      </c>
      <c r="E59" s="336"/>
      <c r="F59" s="336"/>
      <c r="G59" s="338"/>
      <c r="M59" s="339"/>
      <c r="P59" s="339"/>
      <c r="Q59" s="339"/>
      <c r="S59" s="339"/>
      <c r="T59" s="339"/>
      <c r="V59" s="315"/>
      <c r="W59" s="339"/>
      <c r="X59" s="339"/>
      <c r="Y59" s="315"/>
      <c r="Z59" s="315"/>
      <c r="AA59" s="315"/>
      <c r="AB59" s="315"/>
    </row>
    <row r="60" spans="2:28" ht="15.75" customHeight="1" thickBot="1" x14ac:dyDescent="0.4">
      <c r="B60" s="55" t="s">
        <v>965</v>
      </c>
      <c r="C60" s="535" t="s">
        <v>812</v>
      </c>
      <c r="D60" s="314" t="s">
        <v>72</v>
      </c>
      <c r="E60" s="386">
        <f>METRAJE!I76</f>
        <v>13</v>
      </c>
      <c r="F60" s="315" t="s">
        <v>215</v>
      </c>
      <c r="H60" s="526">
        <f>'PRICE LIST'!H61</f>
        <v>5.8000000000000007</v>
      </c>
      <c r="I60" s="526">
        <f t="shared" ref="I60:I77" si="38">H60*E60</f>
        <v>75.400000000000006</v>
      </c>
      <c r="K60" s="316" cm="1">
        <f t="array" ref="K60">_xlfn.IFS(M$2=1,'PRICE LIST'!L61,M$2=2,'PRICE LIST'!O61,$M$2=3,'PRICE LIST'!AA61,$M$2=4,H60*$H$2)</f>
        <v>8.2999999999999989</v>
      </c>
      <c r="M60" s="339">
        <f t="shared" ref="M60:M77" si="39">K60*E60</f>
        <v>107.89999999999999</v>
      </c>
      <c r="N60" s="376">
        <f t="shared" ref="N60:N77" si="40">M60/$M$250</f>
        <v>7.3204157507666401E-2</v>
      </c>
      <c r="P60" s="339">
        <f t="shared" ref="P60:P77" si="41">Q60/E60</f>
        <v>6.3265285353740932</v>
      </c>
      <c r="Q60" s="339">
        <f>N60*'MONTAJE CERR PROPIOS STE EP'!$C$18</f>
        <v>82.244870959863206</v>
      </c>
      <c r="S60" s="339">
        <f t="shared" ref="S60:S77" si="42">P60*FMONTAJE</f>
        <v>9.1734663762924349</v>
      </c>
      <c r="T60" s="339">
        <f t="shared" ref="T60:T77" si="43">Q60*FMONTAJE</f>
        <v>119.25506289180164</v>
      </c>
      <c r="V60" s="315"/>
      <c r="W60" s="339">
        <f t="shared" ref="W60:W77" si="44">K60+S60</f>
        <v>17.473466376292436</v>
      </c>
      <c r="X60" s="339">
        <f t="shared" ref="X60:X77" si="45">M60+T60</f>
        <v>227.15506289180163</v>
      </c>
      <c r="Y60" s="315"/>
      <c r="Z60" s="315"/>
      <c r="AA60" s="315"/>
      <c r="AB60" s="315"/>
    </row>
    <row r="61" spans="2:28" ht="15.75" hidden="1" customHeight="1" thickBot="1" x14ac:dyDescent="0.4">
      <c r="B61" s="55" t="s">
        <v>966</v>
      </c>
      <c r="C61" s="535" t="s">
        <v>813</v>
      </c>
      <c r="D61" s="314" t="s">
        <v>73</v>
      </c>
      <c r="E61" s="385">
        <v>0</v>
      </c>
      <c r="F61" s="315" t="s">
        <v>215</v>
      </c>
      <c r="H61" s="526">
        <f>'PRICE LIST'!H62</f>
        <v>3.41</v>
      </c>
      <c r="I61" s="526">
        <f t="shared" si="38"/>
        <v>0</v>
      </c>
      <c r="K61" s="316" cm="1">
        <f t="array" ref="K61">_xlfn.IFS(M$2=1,'PRICE LIST'!L62,M$2=2,'PRICE LIST'!O62,$M$2=3,'PRICE LIST'!AA62,$M$2=4,H61*$H$2)</f>
        <v>5</v>
      </c>
      <c r="M61" s="339">
        <f t="shared" si="39"/>
        <v>0</v>
      </c>
      <c r="N61" s="376">
        <f t="shared" si="40"/>
        <v>0</v>
      </c>
      <c r="P61" s="339" t="e">
        <f t="shared" si="41"/>
        <v>#DIV/0!</v>
      </c>
      <c r="Q61" s="339">
        <f>N61*'MONTAJE CERR PROPIOS STE EP'!$C$18</f>
        <v>0</v>
      </c>
      <c r="S61" s="339" t="e">
        <f t="shared" si="42"/>
        <v>#DIV/0!</v>
      </c>
      <c r="T61" s="339">
        <f t="shared" si="43"/>
        <v>0</v>
      </c>
      <c r="V61" s="315"/>
      <c r="W61" s="339" t="e">
        <f t="shared" si="44"/>
        <v>#DIV/0!</v>
      </c>
      <c r="X61" s="339">
        <f t="shared" si="45"/>
        <v>0</v>
      </c>
      <c r="Y61" s="315"/>
      <c r="Z61" s="315"/>
      <c r="AA61" s="315"/>
      <c r="AB61" s="315"/>
    </row>
    <row r="62" spans="2:28" ht="15.75" hidden="1" customHeight="1" thickBot="1" x14ac:dyDescent="0.4">
      <c r="B62" s="55" t="s">
        <v>967</v>
      </c>
      <c r="C62" s="535" t="s">
        <v>814</v>
      </c>
      <c r="D62" s="314" t="s">
        <v>74</v>
      </c>
      <c r="E62" s="497">
        <v>0</v>
      </c>
      <c r="F62" s="315" t="s">
        <v>215</v>
      </c>
      <c r="H62" s="526">
        <f>'PRICE LIST'!H63</f>
        <v>2.39</v>
      </c>
      <c r="I62" s="526">
        <f t="shared" si="38"/>
        <v>0</v>
      </c>
      <c r="K62" s="316" cm="1">
        <f t="array" ref="K62">_xlfn.IFS(M$2=1,'PRICE LIST'!L63,M$2=2,'PRICE LIST'!O63,$M$2=3,'PRICE LIST'!AA63,$M$2=4,H62*$H$2)</f>
        <v>3.5</v>
      </c>
      <c r="M62" s="339">
        <f t="shared" si="39"/>
        <v>0</v>
      </c>
      <c r="N62" s="376">
        <f t="shared" si="40"/>
        <v>0</v>
      </c>
      <c r="P62" s="339" t="e">
        <f t="shared" si="41"/>
        <v>#DIV/0!</v>
      </c>
      <c r="Q62" s="339">
        <f>N62*'MONTAJE CERR PROPIOS STE EP'!$C$18</f>
        <v>0</v>
      </c>
      <c r="S62" s="339" t="e">
        <f t="shared" si="42"/>
        <v>#DIV/0!</v>
      </c>
      <c r="T62" s="339">
        <f t="shared" si="43"/>
        <v>0</v>
      </c>
      <c r="V62" s="315"/>
      <c r="W62" s="339" t="e">
        <f t="shared" si="44"/>
        <v>#DIV/0!</v>
      </c>
      <c r="X62" s="339">
        <f t="shared" si="45"/>
        <v>0</v>
      </c>
      <c r="Y62" s="315"/>
      <c r="Z62" s="315"/>
      <c r="AA62" s="315"/>
      <c r="AB62" s="315"/>
    </row>
    <row r="63" spans="2:28" ht="15.75" hidden="1" customHeight="1" thickBot="1" x14ac:dyDescent="0.4">
      <c r="B63" s="55" t="s">
        <v>968</v>
      </c>
      <c r="C63" s="535" t="s">
        <v>815</v>
      </c>
      <c r="D63" s="314" t="s">
        <v>75</v>
      </c>
      <c r="E63" s="386">
        <f>METRAJE!E55</f>
        <v>0</v>
      </c>
      <c r="F63" s="315" t="s">
        <v>414</v>
      </c>
      <c r="H63" s="526">
        <f>'PRICE LIST'!H64</f>
        <v>4.45</v>
      </c>
      <c r="I63" s="526">
        <f t="shared" si="38"/>
        <v>0</v>
      </c>
      <c r="K63" s="316" cm="1">
        <f t="array" ref="K63">_xlfn.IFS(M$2=1,'PRICE LIST'!L64,M$2=2,'PRICE LIST'!O64,$M$2=3,'PRICE LIST'!AA64,$M$2=4,H63*$H$2)</f>
        <v>6.8999999999999995</v>
      </c>
      <c r="M63" s="339">
        <f t="shared" si="39"/>
        <v>0</v>
      </c>
      <c r="N63" s="376">
        <f t="shared" si="40"/>
        <v>0</v>
      </c>
      <c r="P63" s="339" t="e">
        <f t="shared" si="41"/>
        <v>#DIV/0!</v>
      </c>
      <c r="Q63" s="339">
        <f>N63*'MONTAJE CERR PROPIOS STE EP'!$C$18</f>
        <v>0</v>
      </c>
      <c r="S63" s="339" t="e">
        <f t="shared" si="42"/>
        <v>#DIV/0!</v>
      </c>
      <c r="T63" s="339">
        <f t="shared" si="43"/>
        <v>0</v>
      </c>
      <c r="V63" s="315"/>
      <c r="W63" s="339" t="e">
        <f t="shared" si="44"/>
        <v>#DIV/0!</v>
      </c>
      <c r="X63" s="339">
        <f t="shared" si="45"/>
        <v>0</v>
      </c>
      <c r="Y63" s="315"/>
      <c r="Z63" s="315"/>
      <c r="AA63" s="315"/>
      <c r="AB63" s="315"/>
    </row>
    <row r="64" spans="2:28" ht="15.75" hidden="1" customHeight="1" thickBot="1" x14ac:dyDescent="0.4">
      <c r="B64" s="55" t="s">
        <v>969</v>
      </c>
      <c r="C64" s="535" t="s">
        <v>816</v>
      </c>
      <c r="D64" s="314" t="s">
        <v>77</v>
      </c>
      <c r="E64" s="386">
        <f>METRAJE!I77</f>
        <v>0</v>
      </c>
      <c r="F64" s="315" t="s">
        <v>215</v>
      </c>
      <c r="H64" s="526">
        <f>'PRICE LIST'!H65</f>
        <v>7.04</v>
      </c>
      <c r="I64" s="526">
        <f t="shared" si="38"/>
        <v>0</v>
      </c>
      <c r="K64" s="316" cm="1">
        <f t="array" ref="K64">_xlfn.IFS(M$2=1,'PRICE LIST'!L65,M$2=2,'PRICE LIST'!O65,$M$2=3,'PRICE LIST'!AA65,$M$2=4,H64*$H$2)</f>
        <v>10.1</v>
      </c>
      <c r="M64" s="339">
        <f t="shared" si="39"/>
        <v>0</v>
      </c>
      <c r="N64" s="376">
        <f t="shared" si="40"/>
        <v>0</v>
      </c>
      <c r="P64" s="339" t="e">
        <f t="shared" si="41"/>
        <v>#DIV/0!</v>
      </c>
      <c r="Q64" s="339">
        <f>N64*'MONTAJE CERR PROPIOS STE EP'!$C$18</f>
        <v>0</v>
      </c>
      <c r="S64" s="339" t="e">
        <f t="shared" si="42"/>
        <v>#DIV/0!</v>
      </c>
      <c r="T64" s="339">
        <f t="shared" si="43"/>
        <v>0</v>
      </c>
      <c r="V64" s="315"/>
      <c r="W64" s="339" t="e">
        <f t="shared" si="44"/>
        <v>#DIV/0!</v>
      </c>
      <c r="X64" s="339">
        <f t="shared" si="45"/>
        <v>0</v>
      </c>
      <c r="Y64" s="315"/>
      <c r="Z64" s="315"/>
      <c r="AA64" s="315"/>
      <c r="AB64" s="315"/>
    </row>
    <row r="65" spans="2:28" ht="15.75" hidden="1" customHeight="1" thickBot="1" x14ac:dyDescent="0.4">
      <c r="B65" s="55" t="s">
        <v>970</v>
      </c>
      <c r="C65" s="535" t="s">
        <v>817</v>
      </c>
      <c r="D65" s="314" t="s">
        <v>78</v>
      </c>
      <c r="E65" s="386">
        <f>METRAJE!E56</f>
        <v>0</v>
      </c>
      <c r="F65" s="315" t="s">
        <v>414</v>
      </c>
      <c r="H65" s="526">
        <f>'PRICE LIST'!H66</f>
        <v>8.51</v>
      </c>
      <c r="I65" s="526">
        <f t="shared" si="38"/>
        <v>0</v>
      </c>
      <c r="K65" s="316" cm="1">
        <f t="array" ref="K65">_xlfn.IFS(M$2=1,'PRICE LIST'!L66,M$2=2,'PRICE LIST'!O66,$M$2=3,'PRICE LIST'!AA66,$M$2=4,H65*$H$2)</f>
        <v>12.2</v>
      </c>
      <c r="M65" s="339">
        <f t="shared" si="39"/>
        <v>0</v>
      </c>
      <c r="N65" s="376">
        <f t="shared" si="40"/>
        <v>0</v>
      </c>
      <c r="P65" s="339" t="e">
        <f t="shared" si="41"/>
        <v>#DIV/0!</v>
      </c>
      <c r="Q65" s="339">
        <f>N65*'MONTAJE CERR PROPIOS STE EP'!$C$18</f>
        <v>0</v>
      </c>
      <c r="S65" s="339" t="e">
        <f t="shared" si="42"/>
        <v>#DIV/0!</v>
      </c>
      <c r="T65" s="339">
        <f t="shared" si="43"/>
        <v>0</v>
      </c>
      <c r="V65" s="315"/>
      <c r="W65" s="339" t="e">
        <f t="shared" si="44"/>
        <v>#DIV/0!</v>
      </c>
      <c r="X65" s="339">
        <f t="shared" si="45"/>
        <v>0</v>
      </c>
      <c r="Y65" s="315"/>
      <c r="Z65" s="315"/>
      <c r="AA65" s="315"/>
      <c r="AB65" s="315"/>
    </row>
    <row r="66" spans="2:28" ht="15.75" customHeight="1" thickBot="1" x14ac:dyDescent="0.4">
      <c r="B66" s="55" t="s">
        <v>971</v>
      </c>
      <c r="C66" s="535" t="s">
        <v>818</v>
      </c>
      <c r="D66" s="314" t="s">
        <v>79</v>
      </c>
      <c r="E66" s="386">
        <f>METRAJE!I78</f>
        <v>18.900000000000002</v>
      </c>
      <c r="F66" s="315" t="s">
        <v>215</v>
      </c>
      <c r="H66" s="526">
        <f>'PRICE LIST'!H67</f>
        <v>2.33</v>
      </c>
      <c r="I66" s="526">
        <f t="shared" si="38"/>
        <v>44.037000000000006</v>
      </c>
      <c r="K66" s="316" cm="1">
        <f t="array" ref="K66">_xlfn.IFS(M$2=1,'PRICE LIST'!L67,M$2=2,'PRICE LIST'!O67,$M$2=3,'PRICE LIST'!AA67,$M$2=4,H66*$H$2)</f>
        <v>3.4</v>
      </c>
      <c r="M66" s="339">
        <f t="shared" si="39"/>
        <v>64.260000000000005</v>
      </c>
      <c r="N66" s="376">
        <f t="shared" si="40"/>
        <v>4.3596841162582424E-2</v>
      </c>
      <c r="P66" s="339">
        <f t="shared" si="41"/>
        <v>2.5915900024423992</v>
      </c>
      <c r="Q66" s="339">
        <f>N66*'MONTAJE CERR PROPIOS STE EP'!$C$18</f>
        <v>48.981051046161355</v>
      </c>
      <c r="S66" s="339">
        <f t="shared" si="42"/>
        <v>3.7578055035414786</v>
      </c>
      <c r="T66" s="339">
        <f t="shared" si="43"/>
        <v>71.022524016933957</v>
      </c>
      <c r="V66" s="315"/>
      <c r="W66" s="339">
        <f t="shared" si="44"/>
        <v>7.1578055035414785</v>
      </c>
      <c r="X66" s="339">
        <f t="shared" si="45"/>
        <v>135.28252401693396</v>
      </c>
      <c r="Y66" s="315"/>
      <c r="Z66" s="315"/>
      <c r="AA66" s="315"/>
      <c r="AB66" s="315"/>
    </row>
    <row r="67" spans="2:28" ht="15.75" customHeight="1" thickBot="1" x14ac:dyDescent="0.4">
      <c r="B67" s="55" t="s">
        <v>972</v>
      </c>
      <c r="C67" s="535" t="s">
        <v>819</v>
      </c>
      <c r="D67" s="314" t="s">
        <v>80</v>
      </c>
      <c r="E67" s="386">
        <f>METRAJE!I79</f>
        <v>6</v>
      </c>
      <c r="F67" s="315" t="s">
        <v>215</v>
      </c>
      <c r="H67" s="526">
        <f>'PRICE LIST'!H68</f>
        <v>2.02</v>
      </c>
      <c r="I67" s="526">
        <f t="shared" si="38"/>
        <v>12.120000000000001</v>
      </c>
      <c r="K67" s="316" cm="1">
        <f t="array" ref="K67">_xlfn.IFS(M$2=1,'PRICE LIST'!L68,M$2=2,'PRICE LIST'!O68,$M$2=3,'PRICE LIST'!AA68,$M$2=4,H67*$H$2)</f>
        <v>2.9</v>
      </c>
      <c r="M67" s="339">
        <f t="shared" si="39"/>
        <v>17.399999999999999</v>
      </c>
      <c r="N67" s="376">
        <f t="shared" si="40"/>
        <v>1.1804933648131561E-2</v>
      </c>
      <c r="P67" s="339">
        <f t="shared" si="41"/>
        <v>2.2104738256126346</v>
      </c>
      <c r="Q67" s="339">
        <f>N67*'MONTAJE CERR PROPIOS STE EP'!$C$18</f>
        <v>13.262842953675808</v>
      </c>
      <c r="S67" s="339">
        <f t="shared" si="42"/>
        <v>3.2051870471383199</v>
      </c>
      <c r="T67" s="339">
        <f t="shared" si="43"/>
        <v>19.231122282829922</v>
      </c>
      <c r="V67" s="315"/>
      <c r="W67" s="339">
        <f t="shared" si="44"/>
        <v>6.1051870471383198</v>
      </c>
      <c r="X67" s="339">
        <f t="shared" si="45"/>
        <v>36.631122282829921</v>
      </c>
      <c r="Y67" s="315"/>
      <c r="Z67" s="315"/>
      <c r="AA67" s="315"/>
      <c r="AB67" s="315"/>
    </row>
    <row r="68" spans="2:28" ht="16.5" customHeight="1" thickBot="1" x14ac:dyDescent="0.4">
      <c r="B68" s="55" t="s">
        <v>973</v>
      </c>
      <c r="C68" s="535" t="s">
        <v>820</v>
      </c>
      <c r="D68" s="314" t="s">
        <v>81</v>
      </c>
      <c r="E68" s="386">
        <f>METRAJE!I80</f>
        <v>7</v>
      </c>
      <c r="F68" s="315" t="s">
        <v>215</v>
      </c>
      <c r="H68" s="526">
        <f>'PRICE LIST'!H69</f>
        <v>4.2960000000000003</v>
      </c>
      <c r="I68" s="526">
        <f t="shared" si="38"/>
        <v>30.072000000000003</v>
      </c>
      <c r="K68" s="316" cm="1">
        <f t="array" ref="K68">_xlfn.IFS(M$2=1,'PRICE LIST'!L69,M$2=2,'PRICE LIST'!O69,$M$2=3,'PRICE LIST'!AA69,$M$2=4,H68*$H$2)</f>
        <v>6.1999999999999993</v>
      </c>
      <c r="M68" s="339">
        <f t="shared" si="39"/>
        <v>43.399999999999991</v>
      </c>
      <c r="N68" s="376">
        <f t="shared" si="40"/>
        <v>2.9444489674075269E-2</v>
      </c>
      <c r="P68" s="339">
        <f t="shared" si="41"/>
        <v>4.7258405926890807</v>
      </c>
      <c r="Q68" s="339">
        <f>N68*'MONTAJE CERR PROPIOS STE EP'!$C$18</f>
        <v>33.080884148823564</v>
      </c>
      <c r="S68" s="339">
        <f t="shared" si="42"/>
        <v>6.8524688593991669</v>
      </c>
      <c r="T68" s="339">
        <f t="shared" si="43"/>
        <v>47.967282015794169</v>
      </c>
      <c r="V68" s="315"/>
      <c r="W68" s="339">
        <f t="shared" si="44"/>
        <v>13.052468859399166</v>
      </c>
      <c r="X68" s="339">
        <f t="shared" si="45"/>
        <v>91.36728201579416</v>
      </c>
      <c r="Y68" s="315"/>
      <c r="Z68" s="315"/>
      <c r="AA68" s="315"/>
      <c r="AB68" s="315"/>
    </row>
    <row r="69" spans="2:28" ht="15.75" hidden="1" customHeight="1" thickBot="1" x14ac:dyDescent="0.4">
      <c r="B69" s="55" t="s">
        <v>974</v>
      </c>
      <c r="C69" s="535" t="s">
        <v>821</v>
      </c>
      <c r="D69" s="314" t="s">
        <v>82</v>
      </c>
      <c r="E69" s="385">
        <v>0</v>
      </c>
      <c r="F69" s="315" t="s">
        <v>215</v>
      </c>
      <c r="H69" s="526">
        <f>'PRICE LIST'!H70</f>
        <v>3.66</v>
      </c>
      <c r="I69" s="526">
        <f t="shared" si="38"/>
        <v>0</v>
      </c>
      <c r="K69" s="316" cm="1">
        <f t="array" ref="K69">_xlfn.IFS(M$2=1,'PRICE LIST'!L70,M$2=2,'PRICE LIST'!O70,$M$2=3,'PRICE LIST'!AA70,$M$2=4,H69*$H$2)</f>
        <v>5.3</v>
      </c>
      <c r="M69" s="339">
        <f t="shared" si="39"/>
        <v>0</v>
      </c>
      <c r="N69" s="376">
        <f t="shared" si="40"/>
        <v>0</v>
      </c>
      <c r="P69" s="339" t="e">
        <f t="shared" si="41"/>
        <v>#DIV/0!</v>
      </c>
      <c r="Q69" s="339">
        <f>N69*'MONTAJE CERR PROPIOS STE EP'!$C$18</f>
        <v>0</v>
      </c>
      <c r="S69" s="339" t="e">
        <f t="shared" si="42"/>
        <v>#DIV/0!</v>
      </c>
      <c r="T69" s="339">
        <f t="shared" si="43"/>
        <v>0</v>
      </c>
      <c r="V69" s="315"/>
      <c r="W69" s="339" t="e">
        <f t="shared" si="44"/>
        <v>#DIV/0!</v>
      </c>
      <c r="X69" s="339">
        <f t="shared" si="45"/>
        <v>0</v>
      </c>
      <c r="Y69" s="315"/>
      <c r="Z69" s="315"/>
      <c r="AA69" s="315"/>
      <c r="AB69" s="315"/>
    </row>
    <row r="70" spans="2:28" ht="16.5" hidden="1" customHeight="1" thickBot="1" x14ac:dyDescent="0.4">
      <c r="B70" s="55" t="s">
        <v>975</v>
      </c>
      <c r="C70" s="535" t="s">
        <v>822</v>
      </c>
      <c r="D70" s="314" t="s">
        <v>83</v>
      </c>
      <c r="E70" s="386">
        <f>METRAJE!I81</f>
        <v>0</v>
      </c>
      <c r="F70" s="315" t="s">
        <v>215</v>
      </c>
      <c r="H70" s="526">
        <f>'PRICE LIST'!H71</f>
        <v>4.78</v>
      </c>
      <c r="I70" s="526">
        <f t="shared" si="38"/>
        <v>0</v>
      </c>
      <c r="K70" s="316" cm="1">
        <f t="array" ref="K70">_xlfn.IFS(M$2=1,'PRICE LIST'!L71,M$2=2,'PRICE LIST'!O71,$M$2=3,'PRICE LIST'!AA71,$M$2=4,H70*$H$2)</f>
        <v>6.8999999999999995</v>
      </c>
      <c r="M70" s="339">
        <f t="shared" si="39"/>
        <v>0</v>
      </c>
      <c r="N70" s="376">
        <f t="shared" si="40"/>
        <v>0</v>
      </c>
      <c r="P70" s="339" t="e">
        <f t="shared" si="41"/>
        <v>#DIV/0!</v>
      </c>
      <c r="Q70" s="339">
        <f>N70*'MONTAJE CERR PROPIOS STE EP'!$C$18</f>
        <v>0</v>
      </c>
      <c r="S70" s="339" t="e">
        <f t="shared" si="42"/>
        <v>#DIV/0!</v>
      </c>
      <c r="T70" s="339">
        <f t="shared" si="43"/>
        <v>0</v>
      </c>
      <c r="V70" s="315"/>
      <c r="W70" s="339" t="e">
        <f t="shared" si="44"/>
        <v>#DIV/0!</v>
      </c>
      <c r="X70" s="339">
        <f t="shared" si="45"/>
        <v>0</v>
      </c>
      <c r="Y70" s="315"/>
      <c r="Z70" s="315"/>
      <c r="AA70" s="315"/>
      <c r="AB70" s="315"/>
    </row>
    <row r="71" spans="2:28" ht="11.25" hidden="1" customHeight="1" thickBot="1" x14ac:dyDescent="0.4">
      <c r="B71" s="55" t="s">
        <v>976</v>
      </c>
      <c r="C71" s="535" t="s">
        <v>823</v>
      </c>
      <c r="D71" s="314" t="s">
        <v>84</v>
      </c>
      <c r="E71" s="386">
        <f>METRAJE!I55</f>
        <v>0</v>
      </c>
      <c r="F71" s="315" t="s">
        <v>414</v>
      </c>
      <c r="H71" s="526">
        <f>'PRICE LIST'!H72</f>
        <v>3.33</v>
      </c>
      <c r="I71" s="526">
        <f t="shared" si="38"/>
        <v>0</v>
      </c>
      <c r="K71" s="316" cm="1">
        <f t="array" ref="K71">_xlfn.IFS(M$2=1,'PRICE LIST'!L72,M$2=2,'PRICE LIST'!O72,$M$2=3,'PRICE LIST'!AA72,$M$2=4,H71*$H$2)</f>
        <v>4.8</v>
      </c>
      <c r="M71" s="339">
        <f t="shared" si="39"/>
        <v>0</v>
      </c>
      <c r="N71" s="376">
        <f t="shared" si="40"/>
        <v>0</v>
      </c>
      <c r="P71" s="339" t="e">
        <f t="shared" si="41"/>
        <v>#DIV/0!</v>
      </c>
      <c r="Q71" s="339">
        <f>N71*'MONTAJE CERR PROPIOS STE EP'!$C$18</f>
        <v>0</v>
      </c>
      <c r="S71" s="339" t="e">
        <f t="shared" si="42"/>
        <v>#DIV/0!</v>
      </c>
      <c r="T71" s="339">
        <f t="shared" si="43"/>
        <v>0</v>
      </c>
      <c r="V71" s="315"/>
      <c r="W71" s="339" t="e">
        <f t="shared" si="44"/>
        <v>#DIV/0!</v>
      </c>
      <c r="X71" s="339">
        <f t="shared" si="45"/>
        <v>0</v>
      </c>
      <c r="Y71" s="315"/>
      <c r="Z71" s="315"/>
      <c r="AA71" s="315"/>
      <c r="AB71" s="315"/>
    </row>
    <row r="72" spans="2:28" ht="16.5" hidden="1" customHeight="1" thickBot="1" x14ac:dyDescent="0.4">
      <c r="B72" s="55" t="s">
        <v>977</v>
      </c>
      <c r="C72" s="535" t="s">
        <v>824</v>
      </c>
      <c r="D72" s="314" t="s">
        <v>85</v>
      </c>
      <c r="E72" s="385">
        <v>0</v>
      </c>
      <c r="F72" s="315" t="s">
        <v>215</v>
      </c>
      <c r="H72" s="526">
        <f>'PRICE LIST'!H73</f>
        <v>3.62</v>
      </c>
      <c r="I72" s="526">
        <f t="shared" si="38"/>
        <v>0</v>
      </c>
      <c r="K72" s="316" cm="1">
        <f t="array" ref="K72">_xlfn.IFS(M$2=1,'PRICE LIST'!L73,M$2=2,'PRICE LIST'!O73,$M$2=3,'PRICE LIST'!AA73,$M$2=4,H72*$H$2)</f>
        <v>5.1999999999999993</v>
      </c>
      <c r="M72" s="339">
        <f t="shared" si="39"/>
        <v>0</v>
      </c>
      <c r="N72" s="376">
        <f t="shared" si="40"/>
        <v>0</v>
      </c>
      <c r="P72" s="339" t="e">
        <f t="shared" si="41"/>
        <v>#DIV/0!</v>
      </c>
      <c r="Q72" s="339">
        <f>N72*'MONTAJE CERR PROPIOS STE EP'!$C$18</f>
        <v>0</v>
      </c>
      <c r="S72" s="339" t="e">
        <f t="shared" si="42"/>
        <v>#DIV/0!</v>
      </c>
      <c r="T72" s="339">
        <f t="shared" si="43"/>
        <v>0</v>
      </c>
      <c r="V72" s="315"/>
      <c r="W72" s="339" t="e">
        <f t="shared" si="44"/>
        <v>#DIV/0!</v>
      </c>
      <c r="X72" s="339">
        <f t="shared" si="45"/>
        <v>0</v>
      </c>
      <c r="Y72" s="315"/>
      <c r="Z72" s="315"/>
      <c r="AA72" s="315"/>
      <c r="AB72" s="315"/>
    </row>
    <row r="73" spans="2:28" ht="15" hidden="1" thickBot="1" x14ac:dyDescent="0.4">
      <c r="B73" s="55" t="s">
        <v>978</v>
      </c>
      <c r="C73" s="535" t="s">
        <v>825</v>
      </c>
      <c r="D73" s="314" t="s">
        <v>86</v>
      </c>
      <c r="E73" s="385">
        <v>0</v>
      </c>
      <c r="F73" s="315" t="s">
        <v>215</v>
      </c>
      <c r="H73" s="526">
        <f>'PRICE LIST'!H74</f>
        <v>4.28</v>
      </c>
      <c r="I73" s="526">
        <f t="shared" si="38"/>
        <v>0</v>
      </c>
      <c r="K73" s="316" cm="1">
        <f t="array" ref="K73">_xlfn.IFS(M$2=1,'PRICE LIST'!L74,M$2=2,'PRICE LIST'!O74,$M$2=3,'PRICE LIST'!AA74,$M$2=4,H73*$H$2)</f>
        <v>6.1999999999999993</v>
      </c>
      <c r="M73" s="339">
        <f t="shared" si="39"/>
        <v>0</v>
      </c>
      <c r="N73" s="376">
        <f t="shared" si="40"/>
        <v>0</v>
      </c>
      <c r="P73" s="339" t="e">
        <f t="shared" si="41"/>
        <v>#DIV/0!</v>
      </c>
      <c r="Q73" s="339">
        <f>N73*'MONTAJE CERR PROPIOS STE EP'!$C$18</f>
        <v>0</v>
      </c>
      <c r="S73" s="339" t="e">
        <f t="shared" si="42"/>
        <v>#DIV/0!</v>
      </c>
      <c r="T73" s="339">
        <f t="shared" si="43"/>
        <v>0</v>
      </c>
      <c r="V73" s="315"/>
      <c r="W73" s="339" t="e">
        <f t="shared" si="44"/>
        <v>#DIV/0!</v>
      </c>
      <c r="X73" s="339">
        <f t="shared" si="45"/>
        <v>0</v>
      </c>
      <c r="Y73" s="315"/>
      <c r="Z73" s="315"/>
      <c r="AA73" s="315"/>
      <c r="AB73" s="315"/>
    </row>
    <row r="74" spans="2:28" ht="16.5" hidden="1" customHeight="1" thickBot="1" x14ac:dyDescent="0.4">
      <c r="B74" s="55" t="s">
        <v>979</v>
      </c>
      <c r="C74" s="535" t="s">
        <v>826</v>
      </c>
      <c r="D74" s="314" t="s">
        <v>87</v>
      </c>
      <c r="E74" s="385">
        <v>0</v>
      </c>
      <c r="F74" s="315" t="s">
        <v>215</v>
      </c>
      <c r="H74" s="526">
        <f>'PRICE LIST'!H75</f>
        <v>9.69</v>
      </c>
      <c r="I74" s="526">
        <f t="shared" si="38"/>
        <v>0</v>
      </c>
      <c r="K74" s="316" cm="1">
        <f t="array" ref="K74">_xlfn.IFS(M$2=1,'PRICE LIST'!L75,M$2=2,'PRICE LIST'!O75,$M$2=3,'PRICE LIST'!AA75,$M$2=4,H74*$H$2)</f>
        <v>13.9</v>
      </c>
      <c r="M74" s="339">
        <f t="shared" si="39"/>
        <v>0</v>
      </c>
      <c r="N74" s="376">
        <f t="shared" si="40"/>
        <v>0</v>
      </c>
      <c r="P74" s="339" t="e">
        <f t="shared" si="41"/>
        <v>#DIV/0!</v>
      </c>
      <c r="Q74" s="339">
        <f>N74*'MONTAJE CERR PROPIOS STE EP'!$C$18</f>
        <v>0</v>
      </c>
      <c r="S74" s="339" t="e">
        <f t="shared" si="42"/>
        <v>#DIV/0!</v>
      </c>
      <c r="T74" s="339">
        <f t="shared" si="43"/>
        <v>0</v>
      </c>
      <c r="V74" s="315"/>
      <c r="W74" s="339" t="e">
        <f t="shared" si="44"/>
        <v>#DIV/0!</v>
      </c>
      <c r="X74" s="339">
        <f t="shared" si="45"/>
        <v>0</v>
      </c>
      <c r="Y74" s="315"/>
      <c r="Z74" s="315"/>
      <c r="AA74" s="315"/>
      <c r="AB74" s="315"/>
    </row>
    <row r="75" spans="2:28" ht="16.5" hidden="1" customHeight="1" thickBot="1" x14ac:dyDescent="0.4">
      <c r="B75" s="55" t="s">
        <v>980</v>
      </c>
      <c r="C75" s="535" t="s">
        <v>827</v>
      </c>
      <c r="D75" s="314" t="s">
        <v>88</v>
      </c>
      <c r="E75" s="385">
        <f>E74/6</f>
        <v>0</v>
      </c>
      <c r="F75" s="315" t="s">
        <v>414</v>
      </c>
      <c r="H75" s="526">
        <f>'PRICE LIST'!H76</f>
        <v>2.61</v>
      </c>
      <c r="I75" s="526">
        <f t="shared" si="38"/>
        <v>0</v>
      </c>
      <c r="K75" s="316" cm="1">
        <f t="array" ref="K75">_xlfn.IFS(M$2=1,'PRICE LIST'!L76,M$2=2,'PRICE LIST'!O76,$M$2=3,'PRICE LIST'!AA76,$M$2=4,H75*$H$2)</f>
        <v>3.8000000000000003</v>
      </c>
      <c r="M75" s="339">
        <f t="shared" si="39"/>
        <v>0</v>
      </c>
      <c r="N75" s="376">
        <f t="shared" si="40"/>
        <v>0</v>
      </c>
      <c r="P75" s="339" t="e">
        <f t="shared" si="41"/>
        <v>#DIV/0!</v>
      </c>
      <c r="Q75" s="339">
        <f>N75*'MONTAJE CERR PROPIOS STE EP'!$C$18</f>
        <v>0</v>
      </c>
      <c r="S75" s="339" t="e">
        <f t="shared" si="42"/>
        <v>#DIV/0!</v>
      </c>
      <c r="T75" s="339">
        <f t="shared" si="43"/>
        <v>0</v>
      </c>
      <c r="V75" s="315"/>
      <c r="W75" s="339" t="e">
        <f t="shared" si="44"/>
        <v>#DIV/0!</v>
      </c>
      <c r="X75" s="339">
        <f t="shared" si="45"/>
        <v>0</v>
      </c>
      <c r="Y75" s="315"/>
      <c r="Z75" s="315"/>
      <c r="AA75" s="315"/>
      <c r="AB75" s="315"/>
    </row>
    <row r="76" spans="2:28" ht="16.5" hidden="1" customHeight="1" thickBot="1" x14ac:dyDescent="0.4">
      <c r="B76" s="55" t="s">
        <v>981</v>
      </c>
      <c r="C76" s="535" t="s">
        <v>828</v>
      </c>
      <c r="D76" s="314" t="s">
        <v>89</v>
      </c>
      <c r="E76" s="385">
        <v>0</v>
      </c>
      <c r="F76" s="315" t="s">
        <v>414</v>
      </c>
      <c r="H76" s="526">
        <f>'PRICE LIST'!H77</f>
        <v>5.15</v>
      </c>
      <c r="I76" s="526">
        <f t="shared" si="38"/>
        <v>0</v>
      </c>
      <c r="K76" s="316" cm="1">
        <f t="array" ref="K76">_xlfn.IFS(M$2=1,'PRICE LIST'!L77,M$2=2,'PRICE LIST'!O77,$M$2=3,'PRICE LIST'!AA77,$M$2=4,H76*$H$2)</f>
        <v>7.3999999999999995</v>
      </c>
      <c r="M76" s="339">
        <f t="shared" si="39"/>
        <v>0</v>
      </c>
      <c r="N76" s="376">
        <f t="shared" si="40"/>
        <v>0</v>
      </c>
      <c r="P76" s="339" t="e">
        <f t="shared" si="41"/>
        <v>#DIV/0!</v>
      </c>
      <c r="Q76" s="339">
        <f>N76*'MONTAJE CERR PROPIOS STE EP'!$C$18</f>
        <v>0</v>
      </c>
      <c r="S76" s="339" t="e">
        <f t="shared" si="42"/>
        <v>#DIV/0!</v>
      </c>
      <c r="T76" s="339">
        <f t="shared" si="43"/>
        <v>0</v>
      </c>
      <c r="V76" s="315"/>
      <c r="W76" s="339" t="e">
        <f t="shared" si="44"/>
        <v>#DIV/0!</v>
      </c>
      <c r="X76" s="339">
        <f t="shared" si="45"/>
        <v>0</v>
      </c>
      <c r="Y76" s="315"/>
      <c r="Z76" s="315"/>
      <c r="AA76" s="315"/>
      <c r="AB76" s="315"/>
    </row>
    <row r="77" spans="2:28" ht="16.5" hidden="1" customHeight="1" thickBot="1" x14ac:dyDescent="0.4">
      <c r="B77" s="55" t="s">
        <v>982</v>
      </c>
      <c r="C77" s="535" t="s">
        <v>829</v>
      </c>
      <c r="D77" s="314" t="s">
        <v>90</v>
      </c>
      <c r="E77" s="385">
        <v>0</v>
      </c>
      <c r="F77" s="315" t="s">
        <v>414</v>
      </c>
      <c r="H77" s="526">
        <f>'PRICE LIST'!H78</f>
        <v>5.19</v>
      </c>
      <c r="I77" s="526">
        <f t="shared" si="38"/>
        <v>0</v>
      </c>
      <c r="K77" s="316" cm="1">
        <f t="array" ref="K77">_xlfn.IFS(M$2=1,'PRICE LIST'!L78,M$2=2,'PRICE LIST'!O78,$M$2=3,'PRICE LIST'!AA78,$M$2=4,H77*$H$2)</f>
        <v>7.5</v>
      </c>
      <c r="M77" s="339">
        <f t="shared" si="39"/>
        <v>0</v>
      </c>
      <c r="N77" s="376">
        <f t="shared" si="40"/>
        <v>0</v>
      </c>
      <c r="P77" s="339" t="e">
        <f t="shared" si="41"/>
        <v>#DIV/0!</v>
      </c>
      <c r="Q77" s="339">
        <f>N77*'MONTAJE CERR PROPIOS STE EP'!$C$18</f>
        <v>0</v>
      </c>
      <c r="S77" s="339" t="e">
        <f t="shared" si="42"/>
        <v>#DIV/0!</v>
      </c>
      <c r="T77" s="339">
        <f t="shared" si="43"/>
        <v>0</v>
      </c>
      <c r="V77" s="315"/>
      <c r="W77" s="339" t="e">
        <f t="shared" si="44"/>
        <v>#DIV/0!</v>
      </c>
      <c r="X77" s="339">
        <f t="shared" si="45"/>
        <v>0</v>
      </c>
      <c r="Y77" s="315"/>
      <c r="Z77" s="315"/>
      <c r="AA77" s="315"/>
      <c r="AB77" s="315"/>
    </row>
    <row r="78" spans="2:28" ht="16.5" hidden="1" customHeight="1" thickBot="1" x14ac:dyDescent="0.3">
      <c r="E78" s="385"/>
      <c r="M78" s="339"/>
      <c r="N78" s="376"/>
      <c r="P78" s="339"/>
      <c r="Q78" s="339"/>
      <c r="S78" s="339"/>
      <c r="T78" s="339"/>
      <c r="V78" s="315"/>
      <c r="W78" s="339"/>
      <c r="X78" s="339"/>
      <c r="Y78" s="315"/>
      <c r="Z78" s="315"/>
      <c r="AA78" s="315"/>
      <c r="AB78" s="315"/>
    </row>
    <row r="79" spans="2:28" ht="16.5" hidden="1" customHeight="1" x14ac:dyDescent="0.35">
      <c r="B79" s="336"/>
      <c r="C79" s="337"/>
      <c r="D79" s="336" t="s">
        <v>415</v>
      </c>
      <c r="E79" s="336"/>
      <c r="F79" s="338"/>
      <c r="G79" s="338"/>
      <c r="M79" s="339"/>
      <c r="P79" s="339"/>
      <c r="Q79" s="339"/>
      <c r="S79" s="339"/>
      <c r="T79" s="339"/>
      <c r="V79" s="315"/>
      <c r="W79" s="339"/>
      <c r="X79" s="339"/>
      <c r="Y79" s="315"/>
      <c r="Z79" s="315"/>
      <c r="AA79" s="315"/>
      <c r="AB79" s="315"/>
    </row>
    <row r="80" spans="2:28" ht="19.5" hidden="1" customHeight="1" thickBot="1" x14ac:dyDescent="0.35">
      <c r="D80" s="327"/>
      <c r="E80" s="327"/>
      <c r="F80" s="328"/>
      <c r="G80" s="328"/>
      <c r="H80" s="532"/>
      <c r="I80" s="532"/>
      <c r="J80" s="334"/>
      <c r="K80" s="334"/>
      <c r="L80" s="334"/>
      <c r="M80" s="349"/>
      <c r="N80" s="350"/>
      <c r="O80" s="334"/>
      <c r="P80" s="339"/>
      <c r="Q80" s="339"/>
      <c r="R80" s="350"/>
      <c r="S80" s="351"/>
      <c r="T80" s="351"/>
      <c r="V80" s="315"/>
      <c r="W80" s="351"/>
      <c r="X80" s="351"/>
      <c r="Y80" s="315"/>
      <c r="Z80" s="315"/>
      <c r="AA80" s="315"/>
      <c r="AB80" s="315"/>
    </row>
    <row r="81" spans="2:28" ht="18" customHeight="1" thickBot="1" x14ac:dyDescent="0.4">
      <c r="B81" s="55" t="s">
        <v>92</v>
      </c>
      <c r="C81" s="535" t="s">
        <v>830</v>
      </c>
      <c r="D81" s="314" t="s">
        <v>93</v>
      </c>
      <c r="E81" s="386">
        <f>ROUND(((METRAJE!E41+METRAJE!E42+METRAJE!E43)/20)*1.1,0)</f>
        <v>10</v>
      </c>
      <c r="F81" s="315" t="s">
        <v>215</v>
      </c>
      <c r="H81" s="526">
        <f>'PRICE LIST'!H82</f>
        <v>2.95</v>
      </c>
      <c r="I81" s="526">
        <f>H81*E81</f>
        <v>29.5</v>
      </c>
      <c r="K81" s="316" cm="1">
        <f t="array" ref="K81">_xlfn.IFS(M$2=1,'PRICE LIST'!L82,M$2=2,'PRICE LIST'!O82,$M$2=3,'PRICE LIST'!AA82,$M$2=4,H81*$H$2)</f>
        <v>4.3</v>
      </c>
      <c r="L81" s="316">
        <v>1.6</v>
      </c>
      <c r="M81" s="339">
        <f>K81*E81</f>
        <v>43</v>
      </c>
      <c r="N81" s="376">
        <f>M81/$M$250</f>
        <v>2.9173111889060757E-2</v>
      </c>
      <c r="P81" s="339">
        <f>Q81/E81</f>
        <v>3.2775991207359758</v>
      </c>
      <c r="Q81" s="339">
        <f>N81*'MONTAJE CERR PROPIOS STE EP'!$C$18</f>
        <v>32.775991207359759</v>
      </c>
      <c r="S81" s="339">
        <f>P81*FMONTAJE</f>
        <v>4.7525187250671648</v>
      </c>
      <c r="T81" s="339">
        <f>Q81*FMONTAJE</f>
        <v>47.52518725067165</v>
      </c>
      <c r="V81" s="315"/>
      <c r="W81" s="339">
        <f>K81+S81</f>
        <v>9.0525187250671646</v>
      </c>
      <c r="X81" s="339">
        <f>M81+T81</f>
        <v>90.52518725067165</v>
      </c>
      <c r="Y81" s="315"/>
      <c r="Z81" s="315"/>
      <c r="AA81" s="315"/>
      <c r="AB81" s="315"/>
    </row>
    <row r="82" spans="2:28" ht="15.75" hidden="1" customHeight="1" x14ac:dyDescent="0.35">
      <c r="B82" s="55"/>
      <c r="C82" s="55"/>
      <c r="D82" s="55"/>
      <c r="E82" s="55"/>
      <c r="F82" s="62"/>
      <c r="I82" s="529"/>
      <c r="J82" s="71"/>
      <c r="L82" s="441"/>
      <c r="M82" s="339"/>
      <c r="N82" s="71"/>
      <c r="O82" s="440"/>
      <c r="P82" s="339"/>
      <c r="Q82" s="339"/>
      <c r="R82"/>
      <c r="S82" s="339"/>
      <c r="T82" s="339"/>
      <c r="U82"/>
      <c r="V82" s="55"/>
      <c r="W82" s="339"/>
      <c r="X82" s="339"/>
      <c r="Y82" s="55"/>
      <c r="Z82" s="71"/>
      <c r="AA82" s="305"/>
      <c r="AB82" s="315"/>
    </row>
    <row r="83" spans="2:28" ht="15.75" hidden="1" customHeight="1" x14ac:dyDescent="0.3">
      <c r="B83" s="313"/>
      <c r="C83" s="313"/>
      <c r="D83" s="313" t="s">
        <v>94</v>
      </c>
      <c r="E83" s="313"/>
      <c r="F83" s="332"/>
      <c r="G83" s="332"/>
      <c r="H83" s="527"/>
      <c r="I83" s="527"/>
      <c r="J83" s="334"/>
      <c r="K83" s="333"/>
      <c r="L83" s="334"/>
      <c r="M83" s="335"/>
      <c r="N83" s="333"/>
      <c r="O83" s="334"/>
      <c r="P83" s="335"/>
      <c r="Q83" s="335"/>
      <c r="R83" s="334"/>
      <c r="S83" s="335"/>
      <c r="T83" s="335"/>
      <c r="U83" s="334"/>
      <c r="V83" s="315"/>
      <c r="W83" s="335"/>
      <c r="X83" s="335"/>
      <c r="Y83" s="315"/>
      <c r="Z83" s="315"/>
      <c r="AA83" s="315"/>
      <c r="AB83" s="315"/>
    </row>
    <row r="84" spans="2:28" ht="15.75" hidden="1" customHeight="1" x14ac:dyDescent="0.35">
      <c r="B84" s="55"/>
      <c r="C84" s="55"/>
      <c r="D84" s="55"/>
      <c r="E84" s="55"/>
      <c r="F84" s="62"/>
      <c r="I84" s="529"/>
      <c r="J84" s="71"/>
      <c r="L84" s="441"/>
      <c r="M84" s="339"/>
      <c r="N84" s="71"/>
      <c r="O84" s="440"/>
      <c r="P84" s="339"/>
      <c r="Q84" s="339"/>
      <c r="R84"/>
      <c r="S84" s="339"/>
      <c r="T84" s="339"/>
      <c r="U84"/>
      <c r="V84" s="55"/>
      <c r="W84" s="339"/>
      <c r="X84" s="339"/>
      <c r="Y84" s="55"/>
      <c r="Z84" s="71"/>
      <c r="AA84" s="305"/>
      <c r="AB84" s="315"/>
    </row>
    <row r="85" spans="2:28" ht="15.75" hidden="1" customHeight="1" thickBot="1" x14ac:dyDescent="0.3">
      <c r="B85" s="336"/>
      <c r="C85" s="337"/>
      <c r="D85" s="336" t="s">
        <v>416</v>
      </c>
      <c r="E85" s="336"/>
      <c r="F85" s="338"/>
      <c r="G85" s="338"/>
      <c r="M85" s="339"/>
      <c r="P85" s="339"/>
      <c r="Q85" s="339"/>
      <c r="S85" s="339"/>
      <c r="T85" s="339"/>
      <c r="V85" s="315"/>
      <c r="W85" s="339"/>
      <c r="X85" s="339"/>
      <c r="Y85" s="315"/>
      <c r="Z85" s="315"/>
      <c r="AA85" s="315"/>
      <c r="AB85" s="315"/>
    </row>
    <row r="86" spans="2:28" ht="15.75" hidden="1" customHeight="1" thickBot="1" x14ac:dyDescent="0.4">
      <c r="B86" s="55" t="s">
        <v>983</v>
      </c>
      <c r="C86" s="535" t="s">
        <v>831</v>
      </c>
      <c r="D86" s="314" t="s">
        <v>97</v>
      </c>
      <c r="E86" s="386">
        <f>METRAJE!D73</f>
        <v>0</v>
      </c>
      <c r="F86" s="315" t="s">
        <v>414</v>
      </c>
      <c r="H86" s="526">
        <f>'PRICE LIST'!H87</f>
        <v>410</v>
      </c>
      <c r="I86" s="526">
        <f>H86*E86</f>
        <v>0</v>
      </c>
      <c r="K86" s="316" cm="1">
        <f t="array" ref="K86">_xlfn.IFS(M$2=1,'PRICE LIST'!L87,M$2=2,'PRICE LIST'!O87,$M$2=3,'PRICE LIST'!AA87,$M$2=4,H86*$H$2)</f>
        <v>820</v>
      </c>
      <c r="M86" s="339">
        <f>K86*E86</f>
        <v>0</v>
      </c>
      <c r="N86" s="376">
        <f>M86/$M$250</f>
        <v>0</v>
      </c>
      <c r="P86" s="339" t="e">
        <f t="shared" ref="P86:P90" si="46">Q86/E86</f>
        <v>#DIV/0!</v>
      </c>
      <c r="Q86" s="339">
        <f>N86*'MONTAJE CERR PROPIOS STE EP'!$C$18</f>
        <v>0</v>
      </c>
      <c r="S86" s="339" t="e">
        <f t="shared" ref="S86:T90" si="47">P86*FMONTAJE</f>
        <v>#DIV/0!</v>
      </c>
      <c r="T86" s="339">
        <f t="shared" si="47"/>
        <v>0</v>
      </c>
      <c r="V86" s="315"/>
      <c r="W86" s="339" t="e">
        <f t="shared" ref="W86:W90" si="48">K86+S86</f>
        <v>#DIV/0!</v>
      </c>
      <c r="X86" s="339">
        <f t="shared" ref="X86:X90" si="49">M86+T86</f>
        <v>0</v>
      </c>
      <c r="Y86" s="315"/>
      <c r="Z86" s="315"/>
      <c r="AA86" s="315"/>
      <c r="AB86" s="315"/>
    </row>
    <row r="87" spans="2:28" ht="15.75" hidden="1" customHeight="1" thickBot="1" x14ac:dyDescent="0.4">
      <c r="B87" s="55" t="s">
        <v>984</v>
      </c>
      <c r="C87" s="535" t="s">
        <v>832</v>
      </c>
      <c r="D87" s="314" t="s">
        <v>98</v>
      </c>
      <c r="E87" s="386">
        <f>METRAJE!D74</f>
        <v>0</v>
      </c>
      <c r="F87" s="315" t="s">
        <v>414</v>
      </c>
      <c r="H87" s="526">
        <f>'PRICE LIST'!H88</f>
        <v>428</v>
      </c>
      <c r="I87" s="526">
        <f>H87*E87</f>
        <v>0</v>
      </c>
      <c r="K87" s="316" cm="1">
        <f t="array" ref="K87">_xlfn.IFS(M$2=1,'PRICE LIST'!L88,M$2=2,'PRICE LIST'!O88,$M$2=3,'PRICE LIST'!AA88,$M$2=4,H87*$H$2)</f>
        <v>856</v>
      </c>
      <c r="M87" s="339">
        <f>K87*E87</f>
        <v>0</v>
      </c>
      <c r="N87" s="376">
        <f>M87/$M$250</f>
        <v>0</v>
      </c>
      <c r="P87" s="339" t="e">
        <f t="shared" si="46"/>
        <v>#DIV/0!</v>
      </c>
      <c r="Q87" s="339">
        <f>N87*'MONTAJE CERR PROPIOS STE EP'!$C$18</f>
        <v>0</v>
      </c>
      <c r="S87" s="339" t="e">
        <f t="shared" si="47"/>
        <v>#DIV/0!</v>
      </c>
      <c r="T87" s="339">
        <f t="shared" si="47"/>
        <v>0</v>
      </c>
      <c r="V87" s="315"/>
      <c r="W87" s="339" t="e">
        <f t="shared" si="48"/>
        <v>#DIV/0!</v>
      </c>
      <c r="X87" s="339">
        <f t="shared" si="49"/>
        <v>0</v>
      </c>
      <c r="Y87" s="315"/>
      <c r="Z87" s="315"/>
      <c r="AA87" s="315"/>
      <c r="AB87" s="315"/>
    </row>
    <row r="88" spans="2:28" ht="15.75" hidden="1" customHeight="1" thickBot="1" x14ac:dyDescent="0.4">
      <c r="B88" s="55" t="s">
        <v>985</v>
      </c>
      <c r="C88" s="535" t="s">
        <v>833</v>
      </c>
      <c r="D88" s="314" t="s">
        <v>99</v>
      </c>
      <c r="E88" s="386">
        <f>METRAJE!D75</f>
        <v>0</v>
      </c>
      <c r="F88" s="315" t="s">
        <v>414</v>
      </c>
      <c r="H88" s="526">
        <f>'PRICE LIST'!H89</f>
        <v>425</v>
      </c>
      <c r="I88" s="526">
        <f>H88*E88</f>
        <v>0</v>
      </c>
      <c r="K88" s="316" cm="1">
        <f t="array" ref="K88">_xlfn.IFS(M$2=1,'PRICE LIST'!L89,M$2=2,'PRICE LIST'!O89,$M$2=3,'PRICE LIST'!AA89,$M$2=4,H88*$H$2)</f>
        <v>850</v>
      </c>
      <c r="M88" s="339">
        <f>K88*E88</f>
        <v>0</v>
      </c>
      <c r="N88" s="376">
        <f>M88/$M$250</f>
        <v>0</v>
      </c>
      <c r="P88" s="339" t="e">
        <f t="shared" si="46"/>
        <v>#DIV/0!</v>
      </c>
      <c r="Q88" s="339">
        <f>N88*'MONTAJE CERR PROPIOS STE EP'!$C$18</f>
        <v>0</v>
      </c>
      <c r="S88" s="339" t="e">
        <f t="shared" si="47"/>
        <v>#DIV/0!</v>
      </c>
      <c r="T88" s="339">
        <f t="shared" si="47"/>
        <v>0</v>
      </c>
      <c r="V88" s="315"/>
      <c r="W88" s="339" t="e">
        <f t="shared" si="48"/>
        <v>#DIV/0!</v>
      </c>
      <c r="X88" s="339">
        <f t="shared" si="49"/>
        <v>0</v>
      </c>
      <c r="Y88" s="315"/>
      <c r="Z88" s="315"/>
      <c r="AA88" s="315"/>
      <c r="AB88" s="315"/>
    </row>
    <row r="89" spans="2:28" ht="15.75" hidden="1" customHeight="1" thickBot="1" x14ac:dyDescent="0.4">
      <c r="B89" s="55" t="s">
        <v>984</v>
      </c>
      <c r="C89" s="535" t="s">
        <v>832</v>
      </c>
      <c r="D89" s="314" t="s">
        <v>100</v>
      </c>
      <c r="E89" s="386">
        <f>METRAJE!D76</f>
        <v>0</v>
      </c>
      <c r="F89" s="315" t="s">
        <v>414</v>
      </c>
      <c r="H89" s="526">
        <f>'PRICE LIST'!H90</f>
        <v>430</v>
      </c>
      <c r="I89" s="526">
        <f>H89*E89</f>
        <v>0</v>
      </c>
      <c r="K89" s="316" cm="1">
        <f t="array" ref="K89">_xlfn.IFS(M$2=1,'PRICE LIST'!L90,M$2=2,'PRICE LIST'!O90,$M$2=3,'PRICE LIST'!AA90,$M$2=4,H89*$H$2)</f>
        <v>860</v>
      </c>
      <c r="M89" s="339">
        <f>K89*E89</f>
        <v>0</v>
      </c>
      <c r="N89" s="376">
        <f>M89/$M$250</f>
        <v>0</v>
      </c>
      <c r="P89" s="339" t="e">
        <f t="shared" si="46"/>
        <v>#DIV/0!</v>
      </c>
      <c r="Q89" s="339">
        <f>N89*'MONTAJE CERR PROPIOS STE EP'!$C$18</f>
        <v>0</v>
      </c>
      <c r="S89" s="339" t="e">
        <f t="shared" si="47"/>
        <v>#DIV/0!</v>
      </c>
      <c r="T89" s="339">
        <f t="shared" si="47"/>
        <v>0</v>
      </c>
      <c r="V89" s="315"/>
      <c r="W89" s="339" t="e">
        <f t="shared" si="48"/>
        <v>#DIV/0!</v>
      </c>
      <c r="X89" s="339">
        <f t="shared" si="49"/>
        <v>0</v>
      </c>
      <c r="Y89" s="315"/>
      <c r="Z89" s="315"/>
      <c r="AA89" s="315"/>
      <c r="AB89" s="315"/>
    </row>
    <row r="90" spans="2:28" ht="15.75" hidden="1" customHeight="1" thickBot="1" x14ac:dyDescent="0.35">
      <c r="C90" s="535" t="s">
        <v>930</v>
      </c>
      <c r="D90" s="314" t="s">
        <v>417</v>
      </c>
      <c r="E90" s="385">
        <v>0</v>
      </c>
      <c r="F90" s="315" t="s">
        <v>414</v>
      </c>
      <c r="H90" s="526">
        <f>'PRICE LIST'!H91</f>
        <v>0</v>
      </c>
      <c r="I90" s="526">
        <f>H90*E90</f>
        <v>0</v>
      </c>
      <c r="K90" s="316" cm="1">
        <f t="array" ref="K90">_xlfn.IFS(M$2=1,'PRICE LIST'!L91,M$2=2,'PRICE LIST'!O91,$M$2=3,'PRICE LIST'!AA91,$M$2=4,H90*$H$2)</f>
        <v>0</v>
      </c>
      <c r="M90" s="339">
        <f>K90*E90</f>
        <v>0</v>
      </c>
      <c r="N90" s="376">
        <f>M90/$M$250</f>
        <v>0</v>
      </c>
      <c r="P90" s="339" t="e">
        <f t="shared" si="46"/>
        <v>#DIV/0!</v>
      </c>
      <c r="Q90" s="339">
        <f>N90*'MONTAJE CERR PROPIOS STE EP'!$C$18</f>
        <v>0</v>
      </c>
      <c r="S90" s="339" t="e">
        <f t="shared" si="47"/>
        <v>#DIV/0!</v>
      </c>
      <c r="T90" s="339">
        <f t="shared" si="47"/>
        <v>0</v>
      </c>
      <c r="V90" s="315"/>
      <c r="W90" s="339" t="e">
        <f t="shared" si="48"/>
        <v>#DIV/0!</v>
      </c>
      <c r="X90" s="339">
        <f t="shared" si="49"/>
        <v>0</v>
      </c>
      <c r="Y90" s="315"/>
      <c r="Z90" s="315"/>
      <c r="AA90" s="315"/>
      <c r="AB90" s="315"/>
    </row>
    <row r="91" spans="2:28" ht="15.75" hidden="1" customHeight="1" thickBot="1" x14ac:dyDescent="0.3">
      <c r="B91" s="336"/>
      <c r="C91" s="337"/>
      <c r="D91" s="336" t="s">
        <v>418</v>
      </c>
      <c r="E91" s="336"/>
      <c r="F91" s="338"/>
      <c r="G91" s="338"/>
      <c r="H91" s="533"/>
      <c r="M91" s="339"/>
      <c r="P91" s="339"/>
      <c r="Q91" s="339"/>
      <c r="S91" s="339"/>
      <c r="T91" s="339"/>
      <c r="V91" s="315"/>
      <c r="W91" s="339"/>
      <c r="X91" s="339"/>
      <c r="Y91" s="315"/>
      <c r="Z91" s="315"/>
      <c r="AA91" s="315"/>
      <c r="AB91" s="315"/>
    </row>
    <row r="92" spans="2:28" ht="15.75" hidden="1" customHeight="1" thickBot="1" x14ac:dyDescent="0.4">
      <c r="B92" s="55" t="s">
        <v>986</v>
      </c>
      <c r="C92" s="535" t="s">
        <v>834</v>
      </c>
      <c r="D92" s="314" t="s">
        <v>419</v>
      </c>
      <c r="E92" s="386">
        <f>METRAJE!D78</f>
        <v>0</v>
      </c>
      <c r="F92" s="315" t="s">
        <v>414</v>
      </c>
      <c r="H92" s="526">
        <f>'PRICE LIST'!H93</f>
        <v>764</v>
      </c>
      <c r="I92" s="526">
        <f>H92*E92</f>
        <v>0</v>
      </c>
      <c r="K92" s="316" cm="1">
        <f t="array" ref="K92">_xlfn.IFS(M$2=1,'PRICE LIST'!L93,M$2=2,'PRICE LIST'!O93,$M$2=3,'PRICE LIST'!AA93,$M$2=4,H92*$H$2)</f>
        <v>1528</v>
      </c>
      <c r="M92" s="339">
        <f>K92*E92</f>
        <v>0</v>
      </c>
      <c r="N92" s="376">
        <f>M92/$M$250</f>
        <v>0</v>
      </c>
      <c r="P92" s="339" t="e">
        <f t="shared" ref="P92:P95" si="50">Q92/E92</f>
        <v>#DIV/0!</v>
      </c>
      <c r="Q92" s="339">
        <f>N92*'MONTAJE CERR PROPIOS STE EP'!$C$18</f>
        <v>0</v>
      </c>
      <c r="S92" s="339" t="e">
        <f t="shared" ref="S92:T95" si="51">P92*FMONTAJE</f>
        <v>#DIV/0!</v>
      </c>
      <c r="T92" s="339">
        <f t="shared" si="51"/>
        <v>0</v>
      </c>
      <c r="V92" s="315"/>
      <c r="W92" s="339" t="e">
        <f t="shared" ref="W92:W95" si="52">K92+S92</f>
        <v>#DIV/0!</v>
      </c>
      <c r="X92" s="339">
        <f t="shared" ref="X92:X95" si="53">M92+T92</f>
        <v>0</v>
      </c>
      <c r="Y92" s="315"/>
      <c r="Z92" s="315"/>
      <c r="AA92" s="315"/>
      <c r="AB92" s="315"/>
    </row>
    <row r="93" spans="2:28" ht="15.75" hidden="1" customHeight="1" thickBot="1" x14ac:dyDescent="0.4">
      <c r="B93" s="55" t="s">
        <v>987</v>
      </c>
      <c r="C93" s="535" t="s">
        <v>835</v>
      </c>
      <c r="D93" s="314" t="s">
        <v>103</v>
      </c>
      <c r="E93" s="386">
        <f>METRAJE!D79</f>
        <v>0</v>
      </c>
      <c r="F93" s="315" t="s">
        <v>414</v>
      </c>
      <c r="H93" s="526">
        <f>'PRICE LIST'!H94</f>
        <v>794</v>
      </c>
      <c r="I93" s="526">
        <f>H93*E93</f>
        <v>0</v>
      </c>
      <c r="K93" s="316" cm="1">
        <f t="array" ref="K93">_xlfn.IFS(M$2=1,'PRICE LIST'!L94,M$2=2,'PRICE LIST'!O94,$M$2=3,'PRICE LIST'!AA94,$M$2=4,H93*$H$2)</f>
        <v>1588</v>
      </c>
      <c r="M93" s="339">
        <f>K93*E93</f>
        <v>0</v>
      </c>
      <c r="N93" s="376">
        <f>M93/$M$250</f>
        <v>0</v>
      </c>
      <c r="P93" s="339" t="e">
        <f t="shared" si="50"/>
        <v>#DIV/0!</v>
      </c>
      <c r="Q93" s="339">
        <f>N93*'MONTAJE CERR PROPIOS STE EP'!$C$18</f>
        <v>0</v>
      </c>
      <c r="S93" s="339" t="e">
        <f t="shared" si="51"/>
        <v>#DIV/0!</v>
      </c>
      <c r="T93" s="339">
        <f t="shared" si="51"/>
        <v>0</v>
      </c>
      <c r="V93" s="315"/>
      <c r="W93" s="339" t="e">
        <f t="shared" si="52"/>
        <v>#DIV/0!</v>
      </c>
      <c r="X93" s="339">
        <f t="shared" si="53"/>
        <v>0</v>
      </c>
      <c r="Y93" s="315"/>
      <c r="Z93" s="315"/>
      <c r="AA93" s="315"/>
      <c r="AB93" s="315"/>
    </row>
    <row r="94" spans="2:28" ht="15.75" hidden="1" customHeight="1" thickBot="1" x14ac:dyDescent="0.4">
      <c r="B94" s="55" t="s">
        <v>988</v>
      </c>
      <c r="C94" s="535" t="s">
        <v>836</v>
      </c>
      <c r="D94" s="314" t="s">
        <v>104</v>
      </c>
      <c r="E94" s="386">
        <f>METRAJE!D80</f>
        <v>0</v>
      </c>
      <c r="F94" s="315" t="s">
        <v>414</v>
      </c>
      <c r="H94" s="526">
        <f>'PRICE LIST'!H95</f>
        <v>760</v>
      </c>
      <c r="I94" s="526">
        <f>H94*E94</f>
        <v>0</v>
      </c>
      <c r="K94" s="316" cm="1">
        <f t="array" ref="K94">_xlfn.IFS(M$2=1,'PRICE LIST'!L95,M$2=2,'PRICE LIST'!O95,$M$2=3,'PRICE LIST'!AA95,$M$2=4,H94*$H$2)</f>
        <v>1520</v>
      </c>
      <c r="M94" s="339">
        <f>K94*E94</f>
        <v>0</v>
      </c>
      <c r="N94" s="376">
        <f>M94/$M$250</f>
        <v>0</v>
      </c>
      <c r="P94" s="339" t="e">
        <f t="shared" si="50"/>
        <v>#DIV/0!</v>
      </c>
      <c r="Q94" s="339">
        <f>N94*'MONTAJE CERR PROPIOS STE EP'!$C$18</f>
        <v>0</v>
      </c>
      <c r="S94" s="339" t="e">
        <f t="shared" si="51"/>
        <v>#DIV/0!</v>
      </c>
      <c r="T94" s="339">
        <f t="shared" si="51"/>
        <v>0</v>
      </c>
      <c r="V94" s="315"/>
      <c r="W94" s="339" t="e">
        <f t="shared" si="52"/>
        <v>#DIV/0!</v>
      </c>
      <c r="X94" s="339">
        <f t="shared" si="53"/>
        <v>0</v>
      </c>
      <c r="Y94" s="315"/>
      <c r="Z94" s="315"/>
      <c r="AA94" s="315"/>
      <c r="AB94" s="315"/>
    </row>
    <row r="95" spans="2:28" ht="15.75" hidden="1" customHeight="1" thickBot="1" x14ac:dyDescent="0.4">
      <c r="B95" s="55" t="s">
        <v>989</v>
      </c>
      <c r="C95" s="535" t="s">
        <v>837</v>
      </c>
      <c r="D95" s="314" t="s">
        <v>105</v>
      </c>
      <c r="E95" s="386">
        <f>METRAJE!D81</f>
        <v>0</v>
      </c>
      <c r="F95" s="315" t="s">
        <v>414</v>
      </c>
      <c r="H95" s="526">
        <f>'PRICE LIST'!H96</f>
        <v>830</v>
      </c>
      <c r="I95" s="526">
        <f>H95*E95</f>
        <v>0</v>
      </c>
      <c r="K95" s="316" cm="1">
        <f t="array" ref="K95">_xlfn.IFS(M$2=1,'PRICE LIST'!L96,M$2=2,'PRICE LIST'!O96,$M$2=3,'PRICE LIST'!AA96,$M$2=4,H95*$H$2)</f>
        <v>1660</v>
      </c>
      <c r="M95" s="339">
        <f>K95*E95</f>
        <v>0</v>
      </c>
      <c r="N95" s="376">
        <f>M95/$M$250</f>
        <v>0</v>
      </c>
      <c r="P95" s="339" t="e">
        <f t="shared" si="50"/>
        <v>#DIV/0!</v>
      </c>
      <c r="Q95" s="339">
        <f>N95*'MONTAJE CERR PROPIOS STE EP'!$C$18</f>
        <v>0</v>
      </c>
      <c r="S95" s="339" t="e">
        <f t="shared" si="51"/>
        <v>#DIV/0!</v>
      </c>
      <c r="T95" s="339">
        <f t="shared" si="51"/>
        <v>0</v>
      </c>
      <c r="V95" s="315"/>
      <c r="W95" s="339" t="e">
        <f t="shared" si="52"/>
        <v>#DIV/0!</v>
      </c>
      <c r="X95" s="339">
        <f t="shared" si="53"/>
        <v>0</v>
      </c>
      <c r="Y95" s="315"/>
      <c r="Z95" s="315"/>
      <c r="AA95" s="315"/>
      <c r="AB95" s="315"/>
    </row>
    <row r="96" spans="2:28" ht="15.75" hidden="1" customHeight="1" x14ac:dyDescent="0.25">
      <c r="M96" s="339"/>
      <c r="P96" s="339"/>
      <c r="Q96" s="339"/>
      <c r="S96" s="339"/>
      <c r="T96" s="339"/>
      <c r="V96" s="315"/>
      <c r="W96" s="339"/>
      <c r="X96" s="339"/>
      <c r="Y96" s="315"/>
      <c r="Z96" s="315"/>
      <c r="AA96" s="315"/>
      <c r="AB96" s="315"/>
    </row>
    <row r="97" spans="2:28" ht="15.75" hidden="1" customHeight="1" x14ac:dyDescent="0.3">
      <c r="B97" s="313"/>
      <c r="C97" s="313"/>
      <c r="D97" s="313" t="s">
        <v>106</v>
      </c>
      <c r="E97" s="313"/>
      <c r="F97" s="332"/>
      <c r="G97" s="332"/>
      <c r="H97" s="527"/>
      <c r="I97" s="527"/>
      <c r="J97" s="334"/>
      <c r="K97" s="333"/>
      <c r="L97" s="334"/>
      <c r="M97" s="335"/>
      <c r="N97" s="333"/>
      <c r="O97" s="334"/>
      <c r="P97" s="335"/>
      <c r="Q97" s="335"/>
      <c r="R97" s="334"/>
      <c r="S97" s="335"/>
      <c r="T97" s="335"/>
      <c r="V97" s="315"/>
      <c r="W97" s="335"/>
      <c r="X97" s="335"/>
      <c r="Y97" s="315"/>
      <c r="Z97" s="315"/>
      <c r="AA97" s="315"/>
      <c r="AB97" s="315"/>
    </row>
    <row r="98" spans="2:28" ht="15.75" hidden="1" customHeight="1" x14ac:dyDescent="0.3">
      <c r="D98" s="327"/>
      <c r="E98" s="327"/>
      <c r="F98" s="328"/>
      <c r="G98" s="328"/>
      <c r="H98" s="326"/>
      <c r="I98" s="326"/>
      <c r="J98" s="326"/>
      <c r="K98" s="326"/>
      <c r="L98" s="326"/>
      <c r="M98" s="331"/>
      <c r="N98" s="326"/>
      <c r="O98" s="326"/>
      <c r="P98" s="331"/>
      <c r="Q98" s="331"/>
      <c r="R98" s="326"/>
      <c r="S98" s="331"/>
      <c r="T98" s="331"/>
      <c r="V98" s="315"/>
      <c r="W98" s="331"/>
      <c r="X98" s="331"/>
      <c r="Y98" s="315"/>
      <c r="Z98" s="315"/>
      <c r="AA98" s="315"/>
      <c r="AB98" s="315"/>
    </row>
    <row r="99" spans="2:28" ht="15.75" hidden="1" customHeight="1" thickBot="1" x14ac:dyDescent="0.3">
      <c r="B99" s="336"/>
      <c r="C99" s="337"/>
      <c r="D99" s="336" t="s">
        <v>416</v>
      </c>
      <c r="E99" s="336"/>
      <c r="F99" s="338"/>
      <c r="G99" s="338"/>
      <c r="M99" s="339"/>
      <c r="P99" s="339"/>
      <c r="Q99" s="339"/>
      <c r="S99" s="339"/>
      <c r="T99" s="339"/>
      <c r="V99" s="315"/>
      <c r="W99" s="339"/>
      <c r="X99" s="339"/>
      <c r="Y99" s="315"/>
      <c r="Z99" s="315"/>
      <c r="AA99" s="315"/>
      <c r="AB99" s="315"/>
    </row>
    <row r="100" spans="2:28" ht="15.75" hidden="1" customHeight="1" thickBot="1" x14ac:dyDescent="0.4">
      <c r="B100" s="55" t="s">
        <v>983</v>
      </c>
      <c r="C100" s="535" t="s">
        <v>838</v>
      </c>
      <c r="D100" s="314" t="s">
        <v>97</v>
      </c>
      <c r="E100" s="386">
        <f>METRAJE!F73</f>
        <v>0</v>
      </c>
      <c r="F100" s="315" t="s">
        <v>414</v>
      </c>
      <c r="H100" s="530">
        <f>'PRICE LIST'!H101</f>
        <v>410</v>
      </c>
      <c r="I100" s="526">
        <f>H100*E100</f>
        <v>0</v>
      </c>
      <c r="K100" s="316" cm="1">
        <f t="array" ref="K100">_xlfn.IFS(M$2=1,'PRICE LIST'!L101,M$2=2,'PRICE LIST'!O101,$M$2=3,'PRICE LIST'!AA101,$M$2=4,H100*$H$2)</f>
        <v>820</v>
      </c>
      <c r="M100" s="339">
        <f>K100*E100</f>
        <v>0</v>
      </c>
      <c r="N100" s="376">
        <f>M100/$M$250</f>
        <v>0</v>
      </c>
      <c r="P100" s="339" t="e">
        <f t="shared" ref="P100:P104" si="54">Q100/E100</f>
        <v>#DIV/0!</v>
      </c>
      <c r="Q100" s="339">
        <f>N100*'MONTAJE CERR PROPIOS STE EP'!$C$18</f>
        <v>0</v>
      </c>
      <c r="S100" s="339" t="e">
        <f t="shared" ref="S100:S104" si="55">P100*FMONTAJE</f>
        <v>#DIV/0!</v>
      </c>
      <c r="T100" s="339">
        <f t="shared" ref="T100:T104" si="56">Q100*FMONTAJE</f>
        <v>0</v>
      </c>
      <c r="V100" s="315"/>
      <c r="W100" s="339" t="e">
        <f t="shared" ref="W100:W104" si="57">K100+S100</f>
        <v>#DIV/0!</v>
      </c>
      <c r="X100" s="339">
        <f t="shared" ref="X100:X104" si="58">M100+T100</f>
        <v>0</v>
      </c>
      <c r="Y100" s="315"/>
      <c r="Z100" s="315"/>
      <c r="AA100" s="315"/>
      <c r="AB100" s="315"/>
    </row>
    <row r="101" spans="2:28" ht="15.75" hidden="1" customHeight="1" thickBot="1" x14ac:dyDescent="0.4">
      <c r="B101" s="55" t="s">
        <v>984</v>
      </c>
      <c r="C101" s="535" t="s">
        <v>839</v>
      </c>
      <c r="D101" s="314" t="s">
        <v>98</v>
      </c>
      <c r="E101" s="386">
        <f>METRAJE!F74</f>
        <v>0</v>
      </c>
      <c r="F101" s="315" t="s">
        <v>414</v>
      </c>
      <c r="H101" s="530">
        <f>'PRICE LIST'!H102</f>
        <v>428</v>
      </c>
      <c r="I101" s="526">
        <f>H101*E101</f>
        <v>0</v>
      </c>
      <c r="K101" s="316" cm="1">
        <f t="array" ref="K101">_xlfn.IFS(M$2=1,'PRICE LIST'!L102,M$2=2,'PRICE LIST'!O102,$M$2=3,'PRICE LIST'!AA102,$M$2=4,H101*$H$2)</f>
        <v>856</v>
      </c>
      <c r="M101" s="339">
        <f>K101*E101</f>
        <v>0</v>
      </c>
      <c r="N101" s="376">
        <f>M101/$M$250</f>
        <v>0</v>
      </c>
      <c r="P101" s="339" t="e">
        <f t="shared" si="54"/>
        <v>#DIV/0!</v>
      </c>
      <c r="Q101" s="339">
        <f>N101*'MONTAJE CERR PROPIOS STE EP'!$C$18</f>
        <v>0</v>
      </c>
      <c r="S101" s="339" t="e">
        <f t="shared" si="55"/>
        <v>#DIV/0!</v>
      </c>
      <c r="T101" s="339">
        <f t="shared" si="56"/>
        <v>0</v>
      </c>
      <c r="V101" s="315"/>
      <c r="W101" s="339" t="e">
        <f t="shared" si="57"/>
        <v>#DIV/0!</v>
      </c>
      <c r="X101" s="339">
        <f t="shared" si="58"/>
        <v>0</v>
      </c>
      <c r="Y101" s="315"/>
      <c r="Z101" s="315"/>
      <c r="AA101" s="315"/>
      <c r="AB101" s="315"/>
    </row>
    <row r="102" spans="2:28" ht="15.75" hidden="1" customHeight="1" thickBot="1" x14ac:dyDescent="0.4">
      <c r="B102" s="55" t="s">
        <v>985</v>
      </c>
      <c r="C102" s="535" t="s">
        <v>840</v>
      </c>
      <c r="D102" s="314" t="s">
        <v>99</v>
      </c>
      <c r="E102" s="386">
        <f>METRAJE!F75</f>
        <v>0</v>
      </c>
      <c r="F102" s="315" t="s">
        <v>414</v>
      </c>
      <c r="H102" s="530">
        <f>'PRICE LIST'!H103</f>
        <v>425</v>
      </c>
      <c r="I102" s="526">
        <f>H102*E102</f>
        <v>0</v>
      </c>
      <c r="K102" s="316" cm="1">
        <f t="array" ref="K102">_xlfn.IFS(M$2=1,'PRICE LIST'!L103,M$2=2,'PRICE LIST'!O103,$M$2=3,'PRICE LIST'!AA103,$M$2=4,H102*$H$2)</f>
        <v>850</v>
      </c>
      <c r="M102" s="339">
        <f>K102*E102</f>
        <v>0</v>
      </c>
      <c r="N102" s="376">
        <f>M102/$M$250</f>
        <v>0</v>
      </c>
      <c r="P102" s="339" t="e">
        <f t="shared" si="54"/>
        <v>#DIV/0!</v>
      </c>
      <c r="Q102" s="339">
        <f>N102*'MONTAJE CERR PROPIOS STE EP'!$C$18</f>
        <v>0</v>
      </c>
      <c r="S102" s="339" t="e">
        <f t="shared" si="55"/>
        <v>#DIV/0!</v>
      </c>
      <c r="T102" s="339">
        <f t="shared" si="56"/>
        <v>0</v>
      </c>
      <c r="V102" s="315"/>
      <c r="W102" s="339" t="e">
        <f t="shared" si="57"/>
        <v>#DIV/0!</v>
      </c>
      <c r="X102" s="339">
        <f t="shared" si="58"/>
        <v>0</v>
      </c>
      <c r="Y102" s="315"/>
      <c r="Z102" s="315"/>
      <c r="AA102" s="315"/>
      <c r="AB102" s="315"/>
    </row>
    <row r="103" spans="2:28" ht="15.75" hidden="1" customHeight="1" thickBot="1" x14ac:dyDescent="0.4">
      <c r="B103" s="55" t="s">
        <v>984</v>
      </c>
      <c r="C103" s="535" t="s">
        <v>839</v>
      </c>
      <c r="D103" s="314" t="s">
        <v>100</v>
      </c>
      <c r="E103" s="386">
        <f>METRAJE!F76</f>
        <v>0</v>
      </c>
      <c r="F103" s="315" t="s">
        <v>414</v>
      </c>
      <c r="H103" s="530">
        <f>'PRICE LIST'!H104</f>
        <v>430</v>
      </c>
      <c r="I103" s="526">
        <f>H103*E103</f>
        <v>0</v>
      </c>
      <c r="K103" s="316" cm="1">
        <f t="array" ref="K103">_xlfn.IFS(M$2=1,'PRICE LIST'!L104,M$2=2,'PRICE LIST'!O104,$M$2=3,'PRICE LIST'!AA104,$M$2=4,H103*$H$2)</f>
        <v>860</v>
      </c>
      <c r="M103" s="339">
        <f>K103*E103</f>
        <v>0</v>
      </c>
      <c r="N103" s="376">
        <f>M103/$M$250</f>
        <v>0</v>
      </c>
      <c r="P103" s="339" t="e">
        <f t="shared" si="54"/>
        <v>#DIV/0!</v>
      </c>
      <c r="Q103" s="339">
        <f>N103*'MONTAJE CERR PROPIOS STE EP'!$C$18</f>
        <v>0</v>
      </c>
      <c r="S103" s="339" t="e">
        <f t="shared" si="55"/>
        <v>#DIV/0!</v>
      </c>
      <c r="T103" s="339">
        <f t="shared" si="56"/>
        <v>0</v>
      </c>
      <c r="V103" s="315"/>
      <c r="W103" s="339" t="e">
        <f t="shared" si="57"/>
        <v>#DIV/0!</v>
      </c>
      <c r="X103" s="339">
        <f t="shared" si="58"/>
        <v>0</v>
      </c>
      <c r="Y103" s="315"/>
      <c r="Z103" s="315"/>
      <c r="AA103" s="315"/>
      <c r="AB103" s="315"/>
    </row>
    <row r="104" spans="2:28" ht="15.75" hidden="1" customHeight="1" thickBot="1" x14ac:dyDescent="0.3">
      <c r="D104" s="314" t="s">
        <v>417</v>
      </c>
      <c r="E104" s="385"/>
      <c r="F104" s="315" t="s">
        <v>414</v>
      </c>
      <c r="H104" s="530">
        <f>'PRICE LIST'!H105</f>
        <v>0</v>
      </c>
      <c r="I104" s="526">
        <f>H104*E104</f>
        <v>0</v>
      </c>
      <c r="K104" s="316" cm="1">
        <f t="array" ref="K104">_xlfn.IFS(M$2=1,'PRICE LIST'!L105,M$2=2,'PRICE LIST'!O105,$M$2=3,'PRICE LIST'!AA105,$M$2=4,H104*$H$2)</f>
        <v>0</v>
      </c>
      <c r="M104" s="339">
        <f>K104*E104</f>
        <v>0</v>
      </c>
      <c r="N104" s="376">
        <f>M104/$M$250</f>
        <v>0</v>
      </c>
      <c r="P104" s="339" t="e">
        <f t="shared" si="54"/>
        <v>#DIV/0!</v>
      </c>
      <c r="Q104" s="339">
        <f>N104*'MONTAJE CERR PROPIOS STE EP'!$C$18</f>
        <v>0</v>
      </c>
      <c r="S104" s="339" t="e">
        <f t="shared" si="55"/>
        <v>#DIV/0!</v>
      </c>
      <c r="T104" s="339">
        <f t="shared" si="56"/>
        <v>0</v>
      </c>
      <c r="V104" s="315"/>
      <c r="W104" s="339" t="e">
        <f t="shared" si="57"/>
        <v>#DIV/0!</v>
      </c>
      <c r="X104" s="339">
        <f t="shared" si="58"/>
        <v>0</v>
      </c>
      <c r="Y104" s="315"/>
      <c r="Z104" s="315"/>
      <c r="AA104" s="315"/>
      <c r="AB104" s="315"/>
    </row>
    <row r="105" spans="2:28" ht="15.75" hidden="1" customHeight="1" thickBot="1" x14ac:dyDescent="0.3">
      <c r="B105" s="336"/>
      <c r="C105" s="337"/>
      <c r="D105" s="336" t="s">
        <v>418</v>
      </c>
      <c r="E105" s="336"/>
      <c r="F105" s="338"/>
      <c r="G105" s="338"/>
      <c r="H105" s="533"/>
      <c r="M105" s="339"/>
      <c r="P105" s="339"/>
      <c r="Q105" s="339"/>
      <c r="S105" s="339"/>
      <c r="T105" s="339"/>
      <c r="V105" s="315"/>
      <c r="W105" s="339"/>
      <c r="X105" s="339"/>
      <c r="Y105" s="315"/>
      <c r="Z105" s="315"/>
      <c r="AA105" s="315"/>
      <c r="AB105" s="315"/>
    </row>
    <row r="106" spans="2:28" ht="15.75" hidden="1" customHeight="1" thickBot="1" x14ac:dyDescent="0.4">
      <c r="B106" s="55" t="s">
        <v>986</v>
      </c>
      <c r="C106" s="535" t="s">
        <v>841</v>
      </c>
      <c r="D106" s="314" t="s">
        <v>419</v>
      </c>
      <c r="E106" s="386">
        <f>METRAJE!F78</f>
        <v>0</v>
      </c>
      <c r="F106" s="315" t="s">
        <v>414</v>
      </c>
      <c r="H106" s="530">
        <f>'PRICE LIST'!H107</f>
        <v>764</v>
      </c>
      <c r="I106" s="526">
        <f>H106*E106</f>
        <v>0</v>
      </c>
      <c r="K106" s="316" cm="1">
        <f t="array" ref="K106">_xlfn.IFS(M$2=1,'PRICE LIST'!L107,M$2=2,'PRICE LIST'!O107,$M$2=3,'PRICE LIST'!AA107,$M$2=4,H106*$H$2)</f>
        <v>1528</v>
      </c>
      <c r="M106" s="339">
        <f>K106*E106</f>
        <v>0</v>
      </c>
      <c r="N106" s="376">
        <f>M106/$M$250</f>
        <v>0</v>
      </c>
      <c r="P106" s="339" t="e">
        <f t="shared" ref="P106:P109" si="59">Q106/E106</f>
        <v>#DIV/0!</v>
      </c>
      <c r="Q106" s="339">
        <f>N106*'MONTAJE CERR PROPIOS STE EP'!$C$18</f>
        <v>0</v>
      </c>
      <c r="S106" s="339" t="e">
        <f t="shared" ref="S106:S109" si="60">P106*FMONTAJE</f>
        <v>#DIV/0!</v>
      </c>
      <c r="T106" s="339">
        <f t="shared" ref="T106:T109" si="61">Q106*FMONTAJE</f>
        <v>0</v>
      </c>
      <c r="V106" s="315"/>
      <c r="W106" s="339" t="e">
        <f t="shared" ref="W106:W123" si="62">K106+S106</f>
        <v>#DIV/0!</v>
      </c>
      <c r="X106" s="339">
        <f t="shared" ref="X106:X123" si="63">M106+T106</f>
        <v>0</v>
      </c>
      <c r="Y106" s="315"/>
      <c r="Z106" s="315"/>
      <c r="AA106" s="315"/>
      <c r="AB106" s="315"/>
    </row>
    <row r="107" spans="2:28" ht="15.75" hidden="1" customHeight="1" thickBot="1" x14ac:dyDescent="0.4">
      <c r="B107" s="55" t="s">
        <v>987</v>
      </c>
      <c r="C107" s="535" t="s">
        <v>842</v>
      </c>
      <c r="D107" s="314" t="s">
        <v>103</v>
      </c>
      <c r="E107" s="386">
        <f>METRAJE!F79</f>
        <v>0</v>
      </c>
      <c r="F107" s="315" t="s">
        <v>414</v>
      </c>
      <c r="H107" s="530">
        <f>'PRICE LIST'!H108</f>
        <v>794</v>
      </c>
      <c r="I107" s="526">
        <f>H107*E107</f>
        <v>0</v>
      </c>
      <c r="K107" s="316" cm="1">
        <f t="array" ref="K107">_xlfn.IFS(M$2=1,'PRICE LIST'!L108,M$2=2,'PRICE LIST'!O108,$M$2=3,'PRICE LIST'!AA108,$M$2=4,H107*$H$2)</f>
        <v>1588</v>
      </c>
      <c r="M107" s="339">
        <f>K107*E107</f>
        <v>0</v>
      </c>
      <c r="N107" s="376">
        <f>M107/$M$250</f>
        <v>0</v>
      </c>
      <c r="P107" s="339" t="e">
        <f t="shared" si="59"/>
        <v>#DIV/0!</v>
      </c>
      <c r="Q107" s="339">
        <f>N107*'MONTAJE CERR PROPIOS STE EP'!$C$18</f>
        <v>0</v>
      </c>
      <c r="S107" s="339" t="e">
        <f t="shared" si="60"/>
        <v>#DIV/0!</v>
      </c>
      <c r="T107" s="339">
        <f t="shared" si="61"/>
        <v>0</v>
      </c>
      <c r="V107" s="315"/>
      <c r="W107" s="339" t="e">
        <f t="shared" si="62"/>
        <v>#DIV/0!</v>
      </c>
      <c r="X107" s="339">
        <f t="shared" si="63"/>
        <v>0</v>
      </c>
      <c r="Y107" s="315"/>
      <c r="Z107" s="315"/>
      <c r="AA107" s="315"/>
      <c r="AB107" s="315"/>
    </row>
    <row r="108" spans="2:28" ht="15.75" hidden="1" customHeight="1" thickBot="1" x14ac:dyDescent="0.4">
      <c r="B108" s="55" t="s">
        <v>988</v>
      </c>
      <c r="C108" s="535" t="s">
        <v>843</v>
      </c>
      <c r="D108" s="314" t="s">
        <v>104</v>
      </c>
      <c r="E108" s="386">
        <f>METRAJE!F80</f>
        <v>0</v>
      </c>
      <c r="F108" s="315" t="s">
        <v>414</v>
      </c>
      <c r="H108" s="530">
        <f>'PRICE LIST'!H109</f>
        <v>760</v>
      </c>
      <c r="I108" s="526">
        <f>H108*E108</f>
        <v>0</v>
      </c>
      <c r="K108" s="316" cm="1">
        <f t="array" ref="K108">_xlfn.IFS(M$2=1,'PRICE LIST'!L109,M$2=2,'PRICE LIST'!O109,$M$2=3,'PRICE LIST'!AA109,$M$2=4,H108*$H$2)</f>
        <v>1520</v>
      </c>
      <c r="M108" s="339">
        <f>K108*E108</f>
        <v>0</v>
      </c>
      <c r="N108" s="376">
        <f>M108/$M$250</f>
        <v>0</v>
      </c>
      <c r="P108" s="339" t="e">
        <f t="shared" si="59"/>
        <v>#DIV/0!</v>
      </c>
      <c r="Q108" s="339">
        <f>N108*'MONTAJE CERR PROPIOS STE EP'!$C$18</f>
        <v>0</v>
      </c>
      <c r="S108" s="339" t="e">
        <f t="shared" si="60"/>
        <v>#DIV/0!</v>
      </c>
      <c r="T108" s="339">
        <f t="shared" si="61"/>
        <v>0</v>
      </c>
      <c r="V108" s="315"/>
      <c r="W108" s="339" t="e">
        <f t="shared" si="62"/>
        <v>#DIV/0!</v>
      </c>
      <c r="X108" s="339">
        <f t="shared" si="63"/>
        <v>0</v>
      </c>
      <c r="Y108" s="315"/>
      <c r="Z108" s="315"/>
      <c r="AA108" s="315"/>
      <c r="AB108" s="315"/>
    </row>
    <row r="109" spans="2:28" ht="15.75" hidden="1" customHeight="1" thickBot="1" x14ac:dyDescent="0.4">
      <c r="B109" s="55" t="s">
        <v>989</v>
      </c>
      <c r="C109" s="535" t="s">
        <v>844</v>
      </c>
      <c r="D109" s="314" t="s">
        <v>105</v>
      </c>
      <c r="E109" s="386">
        <f>METRAJE!F81</f>
        <v>0</v>
      </c>
      <c r="F109" s="315" t="s">
        <v>414</v>
      </c>
      <c r="H109" s="530">
        <f>'PRICE LIST'!H110</f>
        <v>830</v>
      </c>
      <c r="I109" s="526">
        <f>H109*E109</f>
        <v>0</v>
      </c>
      <c r="K109" s="316" cm="1">
        <f t="array" ref="K109">_xlfn.IFS(M$2=1,'PRICE LIST'!L110,M$2=2,'PRICE LIST'!O110,$M$2=3,'PRICE LIST'!AA110,$M$2=4,H109*$H$2)</f>
        <v>1660</v>
      </c>
      <c r="M109" s="339">
        <f>K109*E109</f>
        <v>0</v>
      </c>
      <c r="N109" s="376">
        <f>M109/$M$250</f>
        <v>0</v>
      </c>
      <c r="P109" s="339" t="e">
        <f t="shared" si="59"/>
        <v>#DIV/0!</v>
      </c>
      <c r="Q109" s="339">
        <f>N109*'MONTAJE CERR PROPIOS STE EP'!$C$18</f>
        <v>0</v>
      </c>
      <c r="S109" s="339" t="e">
        <f t="shared" si="60"/>
        <v>#DIV/0!</v>
      </c>
      <c r="T109" s="339">
        <f t="shared" si="61"/>
        <v>0</v>
      </c>
      <c r="V109" s="315"/>
      <c r="W109" s="339" t="e">
        <f t="shared" si="62"/>
        <v>#DIV/0!</v>
      </c>
      <c r="X109" s="339">
        <f t="shared" si="63"/>
        <v>0</v>
      </c>
      <c r="Y109" s="315"/>
      <c r="Z109" s="315"/>
      <c r="AA109" s="315"/>
      <c r="AB109" s="315"/>
    </row>
    <row r="110" spans="2:28" ht="15.75" hidden="1" customHeight="1" x14ac:dyDescent="0.25">
      <c r="M110" s="339"/>
      <c r="P110" s="339"/>
      <c r="Q110" s="339"/>
      <c r="S110" s="339"/>
      <c r="T110" s="339"/>
      <c r="V110" s="315"/>
      <c r="W110" s="339"/>
      <c r="X110" s="339"/>
      <c r="Y110" s="315"/>
      <c r="Z110" s="315"/>
      <c r="AA110" s="315"/>
      <c r="AB110" s="315"/>
    </row>
    <row r="111" spans="2:28" ht="15.75" hidden="1" customHeight="1" x14ac:dyDescent="0.3">
      <c r="B111" s="313"/>
      <c r="C111" s="313"/>
      <c r="D111" s="313" t="s">
        <v>109</v>
      </c>
      <c r="E111" s="313"/>
      <c r="F111" s="332"/>
      <c r="G111" s="332"/>
      <c r="H111" s="527"/>
      <c r="I111" s="527"/>
      <c r="J111" s="334"/>
      <c r="K111" s="333"/>
      <c r="L111" s="334"/>
      <c r="M111" s="335"/>
      <c r="N111" s="333"/>
      <c r="O111" s="334"/>
      <c r="P111" s="335"/>
      <c r="Q111" s="335"/>
      <c r="R111" s="334"/>
      <c r="S111" s="335"/>
      <c r="T111" s="335"/>
      <c r="V111" s="315"/>
      <c r="W111" s="335"/>
      <c r="X111" s="335"/>
      <c r="Y111" s="315"/>
      <c r="Z111" s="315"/>
      <c r="AA111" s="315"/>
      <c r="AB111" s="315"/>
    </row>
    <row r="112" spans="2:28" ht="15.75" hidden="1" customHeight="1" x14ac:dyDescent="0.3">
      <c r="D112" s="327"/>
      <c r="E112" s="327"/>
      <c r="F112" s="328"/>
      <c r="G112" s="328"/>
      <c r="H112" s="326"/>
      <c r="I112" s="326"/>
      <c r="J112" s="326"/>
      <c r="K112" s="326"/>
      <c r="L112" s="326"/>
      <c r="M112" s="331"/>
      <c r="N112" s="326"/>
      <c r="O112" s="326"/>
      <c r="P112" s="331"/>
      <c r="Q112" s="331"/>
      <c r="R112" s="326"/>
      <c r="S112" s="331"/>
      <c r="T112" s="331"/>
      <c r="V112" s="315"/>
      <c r="W112" s="339"/>
      <c r="X112" s="339"/>
      <c r="Y112" s="315"/>
      <c r="Z112" s="315"/>
      <c r="AA112" s="315"/>
      <c r="AB112" s="315"/>
    </row>
    <row r="113" spans="2:28" ht="15.75" hidden="1" customHeight="1" thickBot="1" x14ac:dyDescent="0.3">
      <c r="B113" s="336"/>
      <c r="C113" s="337"/>
      <c r="D113" s="336" t="s">
        <v>416</v>
      </c>
      <c r="E113" s="336"/>
      <c r="F113" s="338"/>
      <c r="G113" s="338"/>
      <c r="M113" s="339"/>
      <c r="P113" s="339"/>
      <c r="Q113" s="339"/>
      <c r="S113" s="339"/>
      <c r="T113" s="339"/>
      <c r="V113" s="315"/>
      <c r="W113" s="339"/>
      <c r="X113" s="339"/>
      <c r="Y113" s="315"/>
      <c r="Z113" s="315"/>
      <c r="AA113" s="315"/>
      <c r="AB113" s="315"/>
    </row>
    <row r="114" spans="2:28" ht="15.75" hidden="1" customHeight="1" thickBot="1" x14ac:dyDescent="0.4">
      <c r="B114" s="55" t="s">
        <v>983</v>
      </c>
      <c r="C114" s="535" t="s">
        <v>845</v>
      </c>
      <c r="D114" s="314" t="s">
        <v>97</v>
      </c>
      <c r="E114" s="386">
        <f>METRAJE!E73</f>
        <v>0</v>
      </c>
      <c r="F114" s="315" t="s">
        <v>414</v>
      </c>
      <c r="H114" s="530">
        <f>'PRICE LIST'!H115</f>
        <v>410</v>
      </c>
      <c r="I114" s="526">
        <f>H114*E114</f>
        <v>0</v>
      </c>
      <c r="K114" s="316" cm="1">
        <f t="array" ref="K114">_xlfn.IFS(M$2=1,'PRICE LIST'!L115,M$2=2,'PRICE LIST'!O115,$M$2=3,'PRICE LIST'!AA115,$M$2=4,H114*$H$2)</f>
        <v>820</v>
      </c>
      <c r="M114" s="339">
        <f>K114*E114</f>
        <v>0</v>
      </c>
      <c r="N114" s="376">
        <f>M114/$M$250</f>
        <v>0</v>
      </c>
      <c r="P114" s="339" t="e">
        <f t="shared" ref="P114:P118" si="64">Q114/E114</f>
        <v>#DIV/0!</v>
      </c>
      <c r="Q114" s="339">
        <f>N114*'MONTAJE CERR PROPIOS STE EP'!$C$18</f>
        <v>0</v>
      </c>
      <c r="S114" s="339" t="e">
        <f t="shared" ref="S114:S118" si="65">P114*FMONTAJE</f>
        <v>#DIV/0!</v>
      </c>
      <c r="T114" s="339">
        <f t="shared" ref="T114:T118" si="66">Q114*FMONTAJE</f>
        <v>0</v>
      </c>
      <c r="V114" s="315"/>
      <c r="W114" s="339" t="e">
        <f t="shared" si="62"/>
        <v>#DIV/0!</v>
      </c>
      <c r="X114" s="339">
        <f t="shared" si="63"/>
        <v>0</v>
      </c>
      <c r="Y114" s="315"/>
      <c r="Z114" s="315"/>
      <c r="AA114" s="315"/>
      <c r="AB114" s="315"/>
    </row>
    <row r="115" spans="2:28" ht="15.75" hidden="1" customHeight="1" thickBot="1" x14ac:dyDescent="0.4">
      <c r="B115" s="55" t="s">
        <v>984</v>
      </c>
      <c r="C115" s="535" t="s">
        <v>846</v>
      </c>
      <c r="D115" s="314" t="s">
        <v>98</v>
      </c>
      <c r="E115" s="386">
        <f>METRAJE!E74</f>
        <v>0</v>
      </c>
      <c r="F115" s="315" t="s">
        <v>414</v>
      </c>
      <c r="H115" s="530">
        <f>'PRICE LIST'!H116</f>
        <v>428</v>
      </c>
      <c r="I115" s="526">
        <f>H115*E115</f>
        <v>0</v>
      </c>
      <c r="K115" s="316" cm="1">
        <f t="array" ref="K115">_xlfn.IFS(M$2=1,'PRICE LIST'!L116,M$2=2,'PRICE LIST'!O116,$M$2=3,'PRICE LIST'!AA116,$M$2=4,H115*$H$2)</f>
        <v>856</v>
      </c>
      <c r="M115" s="339">
        <f>K115*E115</f>
        <v>0</v>
      </c>
      <c r="N115" s="376">
        <f>M115/$M$250</f>
        <v>0</v>
      </c>
      <c r="P115" s="339" t="e">
        <f t="shared" si="64"/>
        <v>#DIV/0!</v>
      </c>
      <c r="Q115" s="339">
        <f>N115*'MONTAJE CERR PROPIOS STE EP'!$C$18</f>
        <v>0</v>
      </c>
      <c r="S115" s="339" t="e">
        <f t="shared" si="65"/>
        <v>#DIV/0!</v>
      </c>
      <c r="T115" s="339">
        <f t="shared" si="66"/>
        <v>0</v>
      </c>
      <c r="V115" s="315"/>
      <c r="W115" s="339" t="e">
        <f t="shared" si="62"/>
        <v>#DIV/0!</v>
      </c>
      <c r="X115" s="339">
        <f t="shared" si="63"/>
        <v>0</v>
      </c>
      <c r="Y115" s="315"/>
      <c r="Z115" s="315"/>
      <c r="AA115" s="315"/>
      <c r="AB115" s="315"/>
    </row>
    <row r="116" spans="2:28" ht="15.75" hidden="1" customHeight="1" thickBot="1" x14ac:dyDescent="0.4">
      <c r="B116" s="55" t="s">
        <v>985</v>
      </c>
      <c r="C116" s="535" t="s">
        <v>847</v>
      </c>
      <c r="D116" s="314" t="s">
        <v>99</v>
      </c>
      <c r="E116" s="386">
        <f>METRAJE!E75</f>
        <v>0</v>
      </c>
      <c r="F116" s="315" t="s">
        <v>414</v>
      </c>
      <c r="H116" s="530">
        <f>'PRICE LIST'!H117</f>
        <v>425</v>
      </c>
      <c r="I116" s="526">
        <f>H116*E116</f>
        <v>0</v>
      </c>
      <c r="K116" s="316" cm="1">
        <f t="array" ref="K116">_xlfn.IFS(M$2=1,'PRICE LIST'!L117,M$2=2,'PRICE LIST'!O117,$M$2=3,'PRICE LIST'!AA117,$M$2=4,H116*$H$2)</f>
        <v>850</v>
      </c>
      <c r="M116" s="339">
        <f>K116*E116</f>
        <v>0</v>
      </c>
      <c r="N116" s="376">
        <f>M116/$M$250</f>
        <v>0</v>
      </c>
      <c r="P116" s="339" t="e">
        <f t="shared" si="64"/>
        <v>#DIV/0!</v>
      </c>
      <c r="Q116" s="339">
        <f>N116*'MONTAJE CERR PROPIOS STE EP'!$C$18</f>
        <v>0</v>
      </c>
      <c r="S116" s="339" t="e">
        <f t="shared" si="65"/>
        <v>#DIV/0!</v>
      </c>
      <c r="T116" s="339">
        <f t="shared" si="66"/>
        <v>0</v>
      </c>
      <c r="V116" s="315"/>
      <c r="W116" s="339" t="e">
        <f t="shared" si="62"/>
        <v>#DIV/0!</v>
      </c>
      <c r="X116" s="339">
        <f t="shared" si="63"/>
        <v>0</v>
      </c>
      <c r="Y116" s="315"/>
      <c r="Z116" s="315"/>
      <c r="AA116" s="315"/>
      <c r="AB116" s="315"/>
    </row>
    <row r="117" spans="2:28" ht="15.75" hidden="1" customHeight="1" thickBot="1" x14ac:dyDescent="0.4">
      <c r="B117" s="55" t="s">
        <v>984</v>
      </c>
      <c r="C117" s="535" t="s">
        <v>846</v>
      </c>
      <c r="D117" s="314" t="s">
        <v>100</v>
      </c>
      <c r="E117" s="386">
        <f>METRAJE!E76</f>
        <v>0</v>
      </c>
      <c r="F117" s="315" t="s">
        <v>414</v>
      </c>
      <c r="H117" s="530">
        <f>'PRICE LIST'!H118</f>
        <v>430</v>
      </c>
      <c r="I117" s="526">
        <f>H117*E117</f>
        <v>0</v>
      </c>
      <c r="K117" s="316" cm="1">
        <f t="array" ref="K117">_xlfn.IFS(M$2=1,'PRICE LIST'!L118,M$2=2,'PRICE LIST'!O118,$M$2=3,'PRICE LIST'!AA118,$M$2=4,H117*$H$2)</f>
        <v>860</v>
      </c>
      <c r="M117" s="339">
        <f>K117*E117</f>
        <v>0</v>
      </c>
      <c r="N117" s="376">
        <f>M117/$M$250</f>
        <v>0</v>
      </c>
      <c r="P117" s="339" t="e">
        <f t="shared" si="64"/>
        <v>#DIV/0!</v>
      </c>
      <c r="Q117" s="339">
        <f>N117*'MONTAJE CERR PROPIOS STE EP'!$C$18</f>
        <v>0</v>
      </c>
      <c r="S117" s="339" t="e">
        <f t="shared" si="65"/>
        <v>#DIV/0!</v>
      </c>
      <c r="T117" s="339">
        <f t="shared" si="66"/>
        <v>0</v>
      </c>
      <c r="V117" s="315"/>
      <c r="W117" s="339" t="e">
        <f t="shared" si="62"/>
        <v>#DIV/0!</v>
      </c>
      <c r="X117" s="339">
        <f t="shared" si="63"/>
        <v>0</v>
      </c>
      <c r="Y117" s="315"/>
      <c r="Z117" s="315"/>
      <c r="AA117" s="315"/>
      <c r="AB117" s="315"/>
    </row>
    <row r="118" spans="2:28" ht="15.75" hidden="1" customHeight="1" thickBot="1" x14ac:dyDescent="0.3">
      <c r="D118" s="314" t="s">
        <v>417</v>
      </c>
      <c r="E118" s="385"/>
      <c r="F118" s="315" t="s">
        <v>414</v>
      </c>
      <c r="H118" s="530">
        <f>'PRICE LIST'!H119</f>
        <v>0</v>
      </c>
      <c r="I118" s="526">
        <f>H118*E118</f>
        <v>0</v>
      </c>
      <c r="K118" s="316" cm="1">
        <f t="array" ref="K118">_xlfn.IFS(M$2=1,'PRICE LIST'!L119,M$2=2,'PRICE LIST'!O119,$M$2=3,'PRICE LIST'!AA119,$M$2=4,H118*$H$2)</f>
        <v>0</v>
      </c>
      <c r="M118" s="339">
        <f>K118*E118</f>
        <v>0</v>
      </c>
      <c r="N118" s="376">
        <f>M118/$M$250</f>
        <v>0</v>
      </c>
      <c r="P118" s="339" t="e">
        <f t="shared" si="64"/>
        <v>#DIV/0!</v>
      </c>
      <c r="Q118" s="339">
        <f>N118*'MONTAJE CERR PROPIOS STE EP'!$C$18</f>
        <v>0</v>
      </c>
      <c r="S118" s="339" t="e">
        <f t="shared" si="65"/>
        <v>#DIV/0!</v>
      </c>
      <c r="T118" s="339">
        <f t="shared" si="66"/>
        <v>0</v>
      </c>
      <c r="V118" s="315"/>
      <c r="W118" s="339" t="e">
        <f t="shared" si="62"/>
        <v>#DIV/0!</v>
      </c>
      <c r="X118" s="339">
        <f t="shared" si="63"/>
        <v>0</v>
      </c>
      <c r="Y118" s="315"/>
      <c r="Z118" s="315"/>
      <c r="AA118" s="315"/>
      <c r="AB118" s="315"/>
    </row>
    <row r="119" spans="2:28" ht="15.75" hidden="1" customHeight="1" thickBot="1" x14ac:dyDescent="0.3">
      <c r="B119" s="336"/>
      <c r="C119" s="337"/>
      <c r="D119" s="336" t="s">
        <v>418</v>
      </c>
      <c r="E119" s="336"/>
      <c r="F119" s="338"/>
      <c r="G119" s="338"/>
      <c r="H119" s="533"/>
      <c r="M119" s="339"/>
      <c r="P119" s="339"/>
      <c r="Q119" s="339"/>
      <c r="S119" s="339"/>
      <c r="T119" s="339"/>
      <c r="V119" s="315"/>
      <c r="W119" s="339"/>
      <c r="X119" s="339"/>
      <c r="Y119" s="315"/>
      <c r="Z119" s="315"/>
      <c r="AA119" s="315"/>
      <c r="AB119" s="315"/>
    </row>
    <row r="120" spans="2:28" ht="15.75" hidden="1" customHeight="1" thickBot="1" x14ac:dyDescent="0.4">
      <c r="B120" s="55" t="s">
        <v>986</v>
      </c>
      <c r="C120" s="535" t="s">
        <v>848</v>
      </c>
      <c r="D120" s="314" t="s">
        <v>419</v>
      </c>
      <c r="E120" s="386">
        <f>METRAJE!E78</f>
        <v>0</v>
      </c>
      <c r="F120" s="315" t="s">
        <v>414</v>
      </c>
      <c r="H120" s="530">
        <f>'PRICE LIST'!H121</f>
        <v>764</v>
      </c>
      <c r="I120" s="526">
        <f>H120*E120</f>
        <v>0</v>
      </c>
      <c r="K120" s="316" cm="1">
        <f t="array" ref="K120">_xlfn.IFS(M$2=1,'PRICE LIST'!L121,M$2=2,'PRICE LIST'!O121,$M$2=3,'PRICE LIST'!AA121,$M$2=4,H120*$H$2)</f>
        <v>1528</v>
      </c>
      <c r="M120" s="339">
        <f>K120*E120</f>
        <v>0</v>
      </c>
      <c r="N120" s="376">
        <f>M120/$M$250</f>
        <v>0</v>
      </c>
      <c r="P120" s="339" t="e">
        <f t="shared" ref="P120:P123" si="67">Q120/E120</f>
        <v>#DIV/0!</v>
      </c>
      <c r="Q120" s="339">
        <f>N120*'MONTAJE CERR PROPIOS STE EP'!$C$18</f>
        <v>0</v>
      </c>
      <c r="S120" s="339" t="e">
        <f t="shared" ref="S120:S123" si="68">P120*FMONTAJE</f>
        <v>#DIV/0!</v>
      </c>
      <c r="T120" s="339">
        <f t="shared" ref="T120:T123" si="69">Q120*FMONTAJE</f>
        <v>0</v>
      </c>
      <c r="V120" s="315"/>
      <c r="W120" s="339" t="e">
        <f t="shared" si="62"/>
        <v>#DIV/0!</v>
      </c>
      <c r="X120" s="339">
        <f t="shared" si="63"/>
        <v>0</v>
      </c>
      <c r="Y120" s="315"/>
      <c r="Z120" s="315"/>
      <c r="AA120" s="315"/>
      <c r="AB120" s="315"/>
    </row>
    <row r="121" spans="2:28" ht="15.75" hidden="1" customHeight="1" thickBot="1" x14ac:dyDescent="0.4">
      <c r="B121" s="55" t="s">
        <v>987</v>
      </c>
      <c r="C121" s="535" t="s">
        <v>849</v>
      </c>
      <c r="D121" s="314" t="s">
        <v>103</v>
      </c>
      <c r="E121" s="386">
        <f>METRAJE!E79</f>
        <v>0</v>
      </c>
      <c r="F121" s="315" t="s">
        <v>414</v>
      </c>
      <c r="H121" s="530">
        <f>'PRICE LIST'!H122</f>
        <v>794</v>
      </c>
      <c r="I121" s="526">
        <f>H121*E121</f>
        <v>0</v>
      </c>
      <c r="K121" s="316" cm="1">
        <f t="array" ref="K121">_xlfn.IFS(M$2=1,'PRICE LIST'!L122,M$2=2,'PRICE LIST'!O122,$M$2=3,'PRICE LIST'!AA122,$M$2=4,H121*$H$2)</f>
        <v>1588</v>
      </c>
      <c r="M121" s="339">
        <f>K121*E121</f>
        <v>0</v>
      </c>
      <c r="N121" s="376">
        <f>M121/$M$250</f>
        <v>0</v>
      </c>
      <c r="P121" s="339" t="e">
        <f t="shared" si="67"/>
        <v>#DIV/0!</v>
      </c>
      <c r="Q121" s="339">
        <f>N121*'MONTAJE CERR PROPIOS STE EP'!$C$18</f>
        <v>0</v>
      </c>
      <c r="S121" s="339" t="e">
        <f t="shared" si="68"/>
        <v>#DIV/0!</v>
      </c>
      <c r="T121" s="339">
        <f t="shared" si="69"/>
        <v>0</v>
      </c>
      <c r="V121" s="315"/>
      <c r="W121" s="339" t="e">
        <f t="shared" si="62"/>
        <v>#DIV/0!</v>
      </c>
      <c r="X121" s="339">
        <f t="shared" si="63"/>
        <v>0</v>
      </c>
      <c r="Y121" s="315"/>
      <c r="Z121" s="315"/>
      <c r="AA121" s="315"/>
      <c r="AB121" s="315"/>
    </row>
    <row r="122" spans="2:28" ht="15.75" hidden="1" customHeight="1" thickBot="1" x14ac:dyDescent="0.4">
      <c r="B122" s="55" t="s">
        <v>988</v>
      </c>
      <c r="C122" s="535" t="s">
        <v>850</v>
      </c>
      <c r="D122" s="314" t="s">
        <v>104</v>
      </c>
      <c r="E122" s="386">
        <f>METRAJE!E80</f>
        <v>0</v>
      </c>
      <c r="F122" s="315" t="s">
        <v>414</v>
      </c>
      <c r="H122" s="530">
        <f>'PRICE LIST'!H123</f>
        <v>760</v>
      </c>
      <c r="I122" s="526">
        <f>H122*E122</f>
        <v>0</v>
      </c>
      <c r="K122" s="316" cm="1">
        <f t="array" ref="K122">_xlfn.IFS(M$2=1,'PRICE LIST'!L123,M$2=2,'PRICE LIST'!O123,$M$2=3,'PRICE LIST'!AA123,$M$2=4,H122*$H$2)</f>
        <v>1520</v>
      </c>
      <c r="M122" s="339">
        <f>K122*E122</f>
        <v>0</v>
      </c>
      <c r="N122" s="376">
        <f>M122/$M$250</f>
        <v>0</v>
      </c>
      <c r="P122" s="339" t="e">
        <f t="shared" si="67"/>
        <v>#DIV/0!</v>
      </c>
      <c r="Q122" s="339">
        <f>N122*'MONTAJE CERR PROPIOS STE EP'!$C$18</f>
        <v>0</v>
      </c>
      <c r="S122" s="339" t="e">
        <f t="shared" si="68"/>
        <v>#DIV/0!</v>
      </c>
      <c r="T122" s="339">
        <f t="shared" si="69"/>
        <v>0</v>
      </c>
      <c r="V122" s="315"/>
      <c r="W122" s="339" t="e">
        <f t="shared" si="62"/>
        <v>#DIV/0!</v>
      </c>
      <c r="X122" s="339">
        <f t="shared" si="63"/>
        <v>0</v>
      </c>
      <c r="Y122" s="315"/>
      <c r="Z122" s="315"/>
      <c r="AA122" s="315"/>
      <c r="AB122" s="315"/>
    </row>
    <row r="123" spans="2:28" ht="15.75" hidden="1" customHeight="1" thickBot="1" x14ac:dyDescent="0.4">
      <c r="B123" s="55" t="s">
        <v>989</v>
      </c>
      <c r="C123" s="535" t="s">
        <v>851</v>
      </c>
      <c r="D123" s="314" t="s">
        <v>105</v>
      </c>
      <c r="E123" s="386">
        <f>METRAJE!E81</f>
        <v>0</v>
      </c>
      <c r="F123" s="315" t="s">
        <v>414</v>
      </c>
      <c r="H123" s="530">
        <f>'PRICE LIST'!H124</f>
        <v>830</v>
      </c>
      <c r="I123" s="526">
        <f>H123*E123</f>
        <v>0</v>
      </c>
      <c r="K123" s="316" cm="1">
        <f t="array" ref="K123">_xlfn.IFS(M$2=1,'PRICE LIST'!L124,M$2=2,'PRICE LIST'!O124,$M$2=3,'PRICE LIST'!AA124,$M$2=4,H123*$H$2)</f>
        <v>1660</v>
      </c>
      <c r="M123" s="339">
        <f>K123*E123</f>
        <v>0</v>
      </c>
      <c r="N123" s="376">
        <f>M123/$M$250</f>
        <v>0</v>
      </c>
      <c r="P123" s="339" t="e">
        <f t="shared" si="67"/>
        <v>#DIV/0!</v>
      </c>
      <c r="Q123" s="339">
        <f>N123*'MONTAJE CERR PROPIOS STE EP'!$C$18</f>
        <v>0</v>
      </c>
      <c r="S123" s="339" t="e">
        <f t="shared" si="68"/>
        <v>#DIV/0!</v>
      </c>
      <c r="T123" s="339">
        <f t="shared" si="69"/>
        <v>0</v>
      </c>
      <c r="V123" s="315"/>
      <c r="W123" s="339" t="e">
        <f t="shared" si="62"/>
        <v>#DIV/0!</v>
      </c>
      <c r="X123" s="339">
        <f t="shared" si="63"/>
        <v>0</v>
      </c>
      <c r="Y123" s="315"/>
      <c r="Z123" s="315"/>
      <c r="AA123" s="315"/>
      <c r="AB123" s="315"/>
    </row>
    <row r="124" spans="2:28" ht="15.75" hidden="1" customHeight="1" x14ac:dyDescent="0.25">
      <c r="M124" s="339"/>
      <c r="P124" s="339"/>
      <c r="Q124" s="339"/>
      <c r="S124" s="339"/>
      <c r="T124" s="339"/>
      <c r="V124" s="315"/>
      <c r="W124" s="339"/>
      <c r="X124" s="339"/>
      <c r="Y124" s="315"/>
      <c r="Z124" s="315"/>
      <c r="AA124" s="315"/>
      <c r="AB124" s="315"/>
    </row>
    <row r="125" spans="2:28" ht="15.75" hidden="1" customHeight="1" thickBot="1" x14ac:dyDescent="0.3">
      <c r="B125" s="341"/>
      <c r="C125" s="341"/>
      <c r="D125" s="341" t="s">
        <v>112</v>
      </c>
      <c r="E125" s="341"/>
      <c r="F125" s="341"/>
      <c r="G125" s="341"/>
      <c r="M125" s="339"/>
      <c r="P125" s="339"/>
      <c r="Q125" s="339"/>
      <c r="S125" s="339"/>
      <c r="T125" s="339"/>
      <c r="V125" s="315"/>
      <c r="W125" s="339"/>
      <c r="X125" s="339"/>
      <c r="Y125" s="315"/>
      <c r="Z125" s="315"/>
      <c r="AA125" s="315"/>
      <c r="AB125" s="315"/>
    </row>
    <row r="126" spans="2:28" ht="15.75" hidden="1" customHeight="1" thickBot="1" x14ac:dyDescent="0.3">
      <c r="B126" s="229"/>
      <c r="C126" s="538" t="s">
        <v>852</v>
      </c>
      <c r="D126" s="314" t="s">
        <v>420</v>
      </c>
      <c r="E126" s="386" cm="1">
        <f t="array" ref="E126">SUM(METRAJE!D73:D76+METRAJE!E73:E76+METRAJE!F73:F76)</f>
        <v>0</v>
      </c>
      <c r="F126" s="315" t="s">
        <v>414</v>
      </c>
      <c r="H126" s="526">
        <f>'PRICE LIST'!H127</f>
        <v>18</v>
      </c>
      <c r="I126" s="526">
        <f t="shared" ref="I126:I148" si="70">H126*E126</f>
        <v>0</v>
      </c>
      <c r="K126" s="316" cm="1">
        <f t="array" ref="K126">_xlfn.IFS(M$2=1,'PRICE LIST'!L127,M$2=2,'PRICE LIST'!O127,$M$2=3,'PRICE LIST'!AA127,$M$2=4,H126*$H$2)</f>
        <v>36</v>
      </c>
      <c r="M126" s="339">
        <f t="shared" ref="M126:M148" si="71">K126*E126</f>
        <v>0</v>
      </c>
      <c r="N126" s="376">
        <f t="shared" ref="N126:N148" si="72">M126/$M$250</f>
        <v>0</v>
      </c>
      <c r="P126" s="339" t="e">
        <f t="shared" ref="P126:P148" si="73">Q126/E126</f>
        <v>#DIV/0!</v>
      </c>
      <c r="Q126" s="339">
        <f>N126*'MONTAJE CERR PROPIOS STE EP'!$C$18</f>
        <v>0</v>
      </c>
      <c r="S126" s="339" t="e">
        <f t="shared" ref="S126:S148" si="74">P126*FMONTAJE</f>
        <v>#DIV/0!</v>
      </c>
      <c r="T126" s="339">
        <f t="shared" ref="T126:T148" si="75">Q126*FMONTAJE</f>
        <v>0</v>
      </c>
      <c r="V126" s="315"/>
      <c r="W126" s="339" t="e">
        <f t="shared" ref="W126:W148" si="76">K126+S126</f>
        <v>#DIV/0!</v>
      </c>
      <c r="X126" s="339">
        <f t="shared" ref="X126:X148" si="77">M126+T126</f>
        <v>0</v>
      </c>
      <c r="Y126" s="315"/>
      <c r="Z126" s="315"/>
      <c r="AA126" s="315"/>
      <c r="AB126" s="315"/>
    </row>
    <row r="127" spans="2:28" ht="15.75" hidden="1" customHeight="1" thickBot="1" x14ac:dyDescent="0.3">
      <c r="B127" s="229"/>
      <c r="C127" s="538" t="s">
        <v>853</v>
      </c>
      <c r="D127" s="314" t="s">
        <v>421</v>
      </c>
      <c r="E127" s="386" cm="1">
        <f t="array" ref="E127">SUM(METRAJE!D78:D81+METRAJE!E78:E81+METRAJE!F78:F81)</f>
        <v>0</v>
      </c>
      <c r="F127" s="315" t="s">
        <v>414</v>
      </c>
      <c r="H127" s="526">
        <f>'PRICE LIST'!H128</f>
        <v>26.5</v>
      </c>
      <c r="I127" s="526">
        <f t="shared" si="70"/>
        <v>0</v>
      </c>
      <c r="K127" s="316" cm="1">
        <f t="array" ref="K127">_xlfn.IFS(M$2=1,'PRICE LIST'!L128,M$2=2,'PRICE LIST'!O128,$M$2=3,'PRICE LIST'!AA128,$M$2=4,H127*$H$2)</f>
        <v>53</v>
      </c>
      <c r="M127" s="339">
        <f t="shared" si="71"/>
        <v>0</v>
      </c>
      <c r="N127" s="376">
        <f t="shared" si="72"/>
        <v>0</v>
      </c>
      <c r="P127" s="339" t="e">
        <f t="shared" si="73"/>
        <v>#DIV/0!</v>
      </c>
      <c r="Q127" s="339">
        <f>N127*'MONTAJE CERR PROPIOS STE EP'!$C$18</f>
        <v>0</v>
      </c>
      <c r="S127" s="339" t="e">
        <f t="shared" si="74"/>
        <v>#DIV/0!</v>
      </c>
      <c r="T127" s="339">
        <f t="shared" si="75"/>
        <v>0</v>
      </c>
      <c r="V127" s="315"/>
      <c r="W127" s="339" t="e">
        <f t="shared" si="76"/>
        <v>#DIV/0!</v>
      </c>
      <c r="X127" s="339">
        <f t="shared" si="77"/>
        <v>0</v>
      </c>
      <c r="Y127" s="315"/>
      <c r="Z127" s="315"/>
      <c r="AA127" s="315"/>
      <c r="AB127" s="315"/>
    </row>
    <row r="128" spans="2:28" ht="15.75" hidden="1" customHeight="1" thickBot="1" x14ac:dyDescent="0.4">
      <c r="B128" s="55"/>
      <c r="C128" s="535" t="s">
        <v>854</v>
      </c>
      <c r="D128" s="314" t="s">
        <v>422</v>
      </c>
      <c r="E128" s="386">
        <f>METRAJE!I74</f>
        <v>0</v>
      </c>
      <c r="F128" s="315" t="s">
        <v>414</v>
      </c>
      <c r="H128" s="526">
        <f>'PRICE LIST'!H129</f>
        <v>82.82</v>
      </c>
      <c r="I128" s="526">
        <f t="shared" si="70"/>
        <v>0</v>
      </c>
      <c r="K128" s="316" cm="1">
        <f t="array" ref="K128">_xlfn.IFS(M$2=1,'PRICE LIST'!L129,M$2=2,'PRICE LIST'!O129,$M$2=3,'PRICE LIST'!AA129,$M$2=4,H128*$H$2)</f>
        <v>165.7</v>
      </c>
      <c r="M128" s="339">
        <f t="shared" si="71"/>
        <v>0</v>
      </c>
      <c r="N128" s="376">
        <f t="shared" si="72"/>
        <v>0</v>
      </c>
      <c r="P128" s="339" t="e">
        <f t="shared" si="73"/>
        <v>#DIV/0!</v>
      </c>
      <c r="Q128" s="339">
        <f>N128*'MONTAJE CERR PROPIOS STE EP'!$C$18</f>
        <v>0</v>
      </c>
      <c r="S128" s="339" t="e">
        <f t="shared" si="74"/>
        <v>#DIV/0!</v>
      </c>
      <c r="T128" s="339">
        <f t="shared" si="75"/>
        <v>0</v>
      </c>
      <c r="V128" s="315"/>
      <c r="W128" s="339" t="e">
        <f t="shared" si="76"/>
        <v>#DIV/0!</v>
      </c>
      <c r="X128" s="339">
        <f t="shared" si="77"/>
        <v>0</v>
      </c>
      <c r="Y128" s="315"/>
      <c r="Z128" s="315"/>
      <c r="AA128" s="315"/>
      <c r="AB128" s="315"/>
    </row>
    <row r="129" spans="2:28" ht="15.75" hidden="1" customHeight="1" thickBot="1" x14ac:dyDescent="0.4">
      <c r="B129" s="55"/>
      <c r="C129" s="535" t="s">
        <v>855</v>
      </c>
      <c r="D129" s="314" t="s">
        <v>423</v>
      </c>
      <c r="E129" s="385">
        <v>0</v>
      </c>
      <c r="F129" s="315" t="s">
        <v>414</v>
      </c>
      <c r="H129" s="526">
        <f>'PRICE LIST'!H130</f>
        <v>108</v>
      </c>
      <c r="I129" s="526">
        <f>H129*E129</f>
        <v>0</v>
      </c>
      <c r="K129" s="316" cm="1">
        <f t="array" ref="K129">_xlfn.IFS(M$2=1,'PRICE LIST'!L130,M$2=2,'PRICE LIST'!O130,$M$2=3,'PRICE LIST'!AA130,$M$2=4,H129*$H$2)</f>
        <v>216</v>
      </c>
      <c r="M129" s="339">
        <f>K129*E129</f>
        <v>0</v>
      </c>
      <c r="N129" s="376">
        <f t="shared" si="72"/>
        <v>0</v>
      </c>
      <c r="P129" s="339" t="e">
        <f>Q129/E129</f>
        <v>#DIV/0!</v>
      </c>
      <c r="Q129" s="339">
        <f>N129*'MONTAJE CERR PROPIOS STE EP'!$C$18</f>
        <v>0</v>
      </c>
      <c r="S129" s="339" t="e">
        <f t="shared" si="74"/>
        <v>#DIV/0!</v>
      </c>
      <c r="T129" s="339">
        <f t="shared" si="75"/>
        <v>0</v>
      </c>
      <c r="V129" s="315"/>
      <c r="W129" s="339" t="e">
        <f t="shared" si="76"/>
        <v>#DIV/0!</v>
      </c>
      <c r="X129" s="339">
        <f t="shared" si="77"/>
        <v>0</v>
      </c>
      <c r="Y129" s="315"/>
      <c r="Z129" s="315"/>
      <c r="AA129" s="315"/>
      <c r="AB129" s="315"/>
    </row>
    <row r="130" spans="2:28" ht="15.75" hidden="1" customHeight="1" thickBot="1" x14ac:dyDescent="0.4">
      <c r="B130" s="55"/>
      <c r="C130" s="535" t="s">
        <v>856</v>
      </c>
      <c r="D130" s="314" t="s">
        <v>117</v>
      </c>
      <c r="E130" s="385">
        <v>0</v>
      </c>
      <c r="F130" s="315" t="s">
        <v>414</v>
      </c>
      <c r="H130" s="526">
        <f>'PRICE LIST'!H131</f>
        <v>18</v>
      </c>
      <c r="I130" s="526">
        <f>H130*E130</f>
        <v>0</v>
      </c>
      <c r="K130" s="316" cm="1">
        <f t="array" ref="K130">_xlfn.IFS(M$2=1,'PRICE LIST'!L131,M$2=2,'PRICE LIST'!O131,$M$2=3,'PRICE LIST'!AA131,$M$2=4,H130*$H$2)</f>
        <v>36</v>
      </c>
      <c r="M130" s="339">
        <f>K130*E130</f>
        <v>0</v>
      </c>
      <c r="N130" s="376">
        <f t="shared" si="72"/>
        <v>0</v>
      </c>
      <c r="P130" s="339" t="e">
        <f>Q130/E130</f>
        <v>#DIV/0!</v>
      </c>
      <c r="Q130" s="339">
        <f>N130*'MONTAJE CERR PROPIOS STE EP'!$C$18</f>
        <v>0</v>
      </c>
      <c r="S130" s="339" t="e">
        <f t="shared" si="74"/>
        <v>#DIV/0!</v>
      </c>
      <c r="T130" s="339">
        <f t="shared" si="75"/>
        <v>0</v>
      </c>
      <c r="V130" s="315"/>
      <c r="W130" s="339" t="e">
        <f t="shared" si="76"/>
        <v>#DIV/0!</v>
      </c>
      <c r="X130" s="339">
        <f t="shared" si="77"/>
        <v>0</v>
      </c>
      <c r="Y130" s="315"/>
      <c r="Z130" s="315"/>
      <c r="AA130" s="315"/>
      <c r="AB130" s="315"/>
    </row>
    <row r="131" spans="2:28" ht="15.75" hidden="1" customHeight="1" thickBot="1" x14ac:dyDescent="0.4">
      <c r="B131" s="55"/>
      <c r="C131" s="535" t="s">
        <v>857</v>
      </c>
      <c r="D131" s="314" t="s">
        <v>118</v>
      </c>
      <c r="E131" s="385">
        <v>0</v>
      </c>
      <c r="F131" s="315" t="s">
        <v>414</v>
      </c>
      <c r="H131" s="526">
        <f>'PRICE LIST'!H132</f>
        <v>45</v>
      </c>
      <c r="I131" s="526">
        <f t="shared" si="70"/>
        <v>0</v>
      </c>
      <c r="K131" s="316" cm="1">
        <f t="array" ref="K131">_xlfn.IFS(M$2=1,'PRICE LIST'!L132,M$2=2,'PRICE LIST'!O132,$M$2=3,'PRICE LIST'!AA132,$M$2=4,H131*$H$2)</f>
        <v>90</v>
      </c>
      <c r="M131" s="339">
        <f t="shared" si="71"/>
        <v>0</v>
      </c>
      <c r="N131" s="376">
        <f t="shared" si="72"/>
        <v>0</v>
      </c>
      <c r="P131" s="339" t="e">
        <f t="shared" si="73"/>
        <v>#DIV/0!</v>
      </c>
      <c r="Q131" s="339">
        <f>N131*'MONTAJE CERR PROPIOS STE EP'!$C$18</f>
        <v>0</v>
      </c>
      <c r="S131" s="339" t="e">
        <f t="shared" si="74"/>
        <v>#DIV/0!</v>
      </c>
      <c r="T131" s="339">
        <f t="shared" si="75"/>
        <v>0</v>
      </c>
      <c r="V131" s="315"/>
      <c r="W131" s="339" t="e">
        <f t="shared" si="76"/>
        <v>#DIV/0!</v>
      </c>
      <c r="X131" s="339">
        <f t="shared" si="77"/>
        <v>0</v>
      </c>
      <c r="Y131" s="315"/>
      <c r="Z131" s="315"/>
      <c r="AA131" s="315"/>
      <c r="AB131" s="315"/>
    </row>
    <row r="132" spans="2:28" ht="14.25" hidden="1" customHeight="1" thickBot="1" x14ac:dyDescent="0.4">
      <c r="B132" s="55"/>
      <c r="C132" s="535" t="s">
        <v>858</v>
      </c>
      <c r="D132" s="314" t="s">
        <v>424</v>
      </c>
      <c r="E132" s="385">
        <v>0</v>
      </c>
      <c r="F132" s="315" t="s">
        <v>414</v>
      </c>
      <c r="H132" s="526">
        <f>'PRICE LIST'!H133</f>
        <v>39.5</v>
      </c>
      <c r="I132" s="526">
        <f t="shared" si="70"/>
        <v>0</v>
      </c>
      <c r="K132" s="316" cm="1">
        <f t="array" ref="K132">_xlfn.IFS(M$2=1,'PRICE LIST'!L133,M$2=2,'PRICE LIST'!O133,$M$2=3,'PRICE LIST'!AA133,$M$2=4,H132*$H$2)</f>
        <v>79</v>
      </c>
      <c r="M132" s="339">
        <f t="shared" si="71"/>
        <v>0</v>
      </c>
      <c r="N132" s="376">
        <f t="shared" si="72"/>
        <v>0</v>
      </c>
      <c r="P132" s="339" t="e">
        <f t="shared" si="73"/>
        <v>#DIV/0!</v>
      </c>
      <c r="Q132" s="339">
        <f>N132*'MONTAJE CERR PROPIOS STE EP'!$C$18</f>
        <v>0</v>
      </c>
      <c r="S132" s="339" t="e">
        <f t="shared" si="74"/>
        <v>#DIV/0!</v>
      </c>
      <c r="T132" s="339">
        <f t="shared" si="75"/>
        <v>0</v>
      </c>
      <c r="V132" s="315"/>
      <c r="W132" s="339" t="e">
        <f t="shared" si="76"/>
        <v>#DIV/0!</v>
      </c>
      <c r="X132" s="339">
        <f t="shared" si="77"/>
        <v>0</v>
      </c>
      <c r="Y132" s="315"/>
      <c r="Z132" s="315"/>
      <c r="AA132" s="315"/>
      <c r="AB132" s="315"/>
    </row>
    <row r="133" spans="2:28" ht="15" hidden="1" thickBot="1" x14ac:dyDescent="0.4">
      <c r="B133" s="55"/>
      <c r="C133" s="535" t="s">
        <v>859</v>
      </c>
      <c r="D133" s="314" t="s">
        <v>120</v>
      </c>
      <c r="E133" s="385">
        <v>0</v>
      </c>
      <c r="F133" s="315" t="s">
        <v>414</v>
      </c>
      <c r="H133" s="526">
        <f>'PRICE LIST'!H134</f>
        <v>52.1</v>
      </c>
      <c r="I133" s="526">
        <f t="shared" si="70"/>
        <v>0</v>
      </c>
      <c r="K133" s="316" cm="1">
        <f t="array" ref="K133">_xlfn.IFS(M$2=1,'PRICE LIST'!L134,M$2=2,'PRICE LIST'!O134,$M$2=3,'PRICE LIST'!AA134,$M$2=4,H133*$H$2)</f>
        <v>104.2</v>
      </c>
      <c r="M133" s="339">
        <f t="shared" si="71"/>
        <v>0</v>
      </c>
      <c r="N133" s="376">
        <f t="shared" si="72"/>
        <v>0</v>
      </c>
      <c r="P133" s="339" t="e">
        <f t="shared" si="73"/>
        <v>#DIV/0!</v>
      </c>
      <c r="Q133" s="339">
        <f>N133*'MONTAJE CERR PROPIOS STE EP'!$C$18</f>
        <v>0</v>
      </c>
      <c r="S133" s="339" t="e">
        <f t="shared" si="74"/>
        <v>#DIV/0!</v>
      </c>
      <c r="T133" s="339">
        <f t="shared" si="75"/>
        <v>0</v>
      </c>
      <c r="V133" s="315"/>
      <c r="W133" s="339" t="e">
        <f t="shared" si="76"/>
        <v>#DIV/0!</v>
      </c>
      <c r="X133" s="339">
        <f t="shared" si="77"/>
        <v>0</v>
      </c>
      <c r="Y133" s="315"/>
      <c r="Z133" s="315"/>
      <c r="AA133" s="315"/>
      <c r="AB133" s="315"/>
    </row>
    <row r="134" spans="2:28" ht="15.75" hidden="1" customHeight="1" thickBot="1" x14ac:dyDescent="0.4">
      <c r="B134" s="55"/>
      <c r="C134" s="535" t="s">
        <v>860</v>
      </c>
      <c r="D134" s="314" t="s">
        <v>121</v>
      </c>
      <c r="E134" s="385">
        <v>0</v>
      </c>
      <c r="F134" s="315" t="s">
        <v>414</v>
      </c>
      <c r="H134" s="526">
        <f>'PRICE LIST'!H135</f>
        <v>61.2</v>
      </c>
      <c r="I134" s="526">
        <f t="shared" si="70"/>
        <v>0</v>
      </c>
      <c r="K134" s="316" cm="1">
        <f t="array" ref="K134">_xlfn.IFS(M$2=1,'PRICE LIST'!L135,M$2=2,'PRICE LIST'!O135,$M$2=3,'PRICE LIST'!AA135,$M$2=4,H134*$H$2)</f>
        <v>122.4</v>
      </c>
      <c r="M134" s="339">
        <f t="shared" si="71"/>
        <v>0</v>
      </c>
      <c r="N134" s="376">
        <f t="shared" si="72"/>
        <v>0</v>
      </c>
      <c r="P134" s="339" t="e">
        <f t="shared" si="73"/>
        <v>#DIV/0!</v>
      </c>
      <c r="Q134" s="339">
        <f>N134*'MONTAJE CERR PROPIOS STE EP'!$C$18</f>
        <v>0</v>
      </c>
      <c r="S134" s="339" t="e">
        <f t="shared" si="74"/>
        <v>#DIV/0!</v>
      </c>
      <c r="T134" s="339">
        <f t="shared" si="75"/>
        <v>0</v>
      </c>
      <c r="U134" s="348"/>
      <c r="V134" s="315"/>
      <c r="W134" s="339" t="e">
        <f t="shared" si="76"/>
        <v>#DIV/0!</v>
      </c>
      <c r="X134" s="339">
        <f t="shared" si="77"/>
        <v>0</v>
      </c>
      <c r="Y134" s="315"/>
      <c r="Z134" s="315"/>
      <c r="AA134" s="315"/>
      <c r="AB134" s="315"/>
    </row>
    <row r="135" spans="2:28" ht="15.75" hidden="1" customHeight="1" thickBot="1" x14ac:dyDescent="0.4">
      <c r="B135" s="55"/>
      <c r="C135" s="535" t="s">
        <v>861</v>
      </c>
      <c r="D135" s="314" t="s">
        <v>425</v>
      </c>
      <c r="E135" s="385">
        <v>0</v>
      </c>
      <c r="F135" s="315" t="s">
        <v>414</v>
      </c>
      <c r="H135" s="526">
        <f>'PRICE LIST'!H136</f>
        <v>68</v>
      </c>
      <c r="I135" s="526">
        <f t="shared" si="70"/>
        <v>0</v>
      </c>
      <c r="K135" s="316" cm="1">
        <f t="array" ref="K135">_xlfn.IFS(M$2=1,'PRICE LIST'!L136,M$2=2,'PRICE LIST'!O136,$M$2=3,'PRICE LIST'!AA136,$M$2=4,H135*$H$2)</f>
        <v>136</v>
      </c>
      <c r="M135" s="339">
        <f t="shared" si="71"/>
        <v>0</v>
      </c>
      <c r="N135" s="376">
        <f t="shared" si="72"/>
        <v>0</v>
      </c>
      <c r="P135" s="339" t="e">
        <f t="shared" si="73"/>
        <v>#DIV/0!</v>
      </c>
      <c r="Q135" s="339">
        <f>N135*'MONTAJE CERR PROPIOS STE EP'!$C$18</f>
        <v>0</v>
      </c>
      <c r="S135" s="339" t="e">
        <f t="shared" si="74"/>
        <v>#DIV/0!</v>
      </c>
      <c r="T135" s="339">
        <f t="shared" si="75"/>
        <v>0</v>
      </c>
      <c r="U135" s="348"/>
      <c r="V135" s="315"/>
      <c r="W135" s="339" t="e">
        <f t="shared" si="76"/>
        <v>#DIV/0!</v>
      </c>
      <c r="X135" s="339">
        <f t="shared" si="77"/>
        <v>0</v>
      </c>
      <c r="Y135" s="315"/>
      <c r="Z135" s="315"/>
      <c r="AA135" s="315"/>
      <c r="AB135" s="315"/>
    </row>
    <row r="136" spans="2:28" ht="15.75" hidden="1" customHeight="1" thickBot="1" x14ac:dyDescent="0.4">
      <c r="B136" s="55"/>
      <c r="C136" s="535" t="s">
        <v>862</v>
      </c>
      <c r="D136" s="314" t="s">
        <v>426</v>
      </c>
      <c r="E136" s="385">
        <v>0</v>
      </c>
      <c r="F136" s="315" t="s">
        <v>414</v>
      </c>
      <c r="H136" s="526">
        <f>'PRICE LIST'!H137</f>
        <v>0</v>
      </c>
      <c r="I136" s="526">
        <f t="shared" si="70"/>
        <v>0</v>
      </c>
      <c r="K136" s="316" cm="1">
        <f t="array" ref="K136">_xlfn.IFS(M$2=1,'PRICE LIST'!L137,M$2=2,'PRICE LIST'!O137,$M$2=3,'PRICE LIST'!AA137,$M$2=4,H136*$H$2)</f>
        <v>0</v>
      </c>
      <c r="M136" s="339">
        <f t="shared" si="71"/>
        <v>0</v>
      </c>
      <c r="N136" s="376">
        <f t="shared" si="72"/>
        <v>0</v>
      </c>
      <c r="P136" s="339" t="e">
        <f t="shared" si="73"/>
        <v>#DIV/0!</v>
      </c>
      <c r="Q136" s="339">
        <f>N136*'MONTAJE CERR PROPIOS STE EP'!$C$18</f>
        <v>0</v>
      </c>
      <c r="S136" s="339" t="e">
        <f t="shared" si="74"/>
        <v>#DIV/0!</v>
      </c>
      <c r="T136" s="339">
        <f t="shared" si="75"/>
        <v>0</v>
      </c>
      <c r="V136" s="315"/>
      <c r="W136" s="339" t="e">
        <f t="shared" si="76"/>
        <v>#DIV/0!</v>
      </c>
      <c r="X136" s="339">
        <f t="shared" si="77"/>
        <v>0</v>
      </c>
      <c r="Y136" s="315"/>
      <c r="Z136" s="315"/>
      <c r="AA136" s="315"/>
      <c r="AB136" s="315"/>
    </row>
    <row r="137" spans="2:28" ht="15.75" hidden="1" customHeight="1" thickBot="1" x14ac:dyDescent="0.4">
      <c r="B137" s="55"/>
      <c r="C137" s="535" t="s">
        <v>863</v>
      </c>
      <c r="D137" s="314" t="s">
        <v>124</v>
      </c>
      <c r="E137" s="385">
        <v>0</v>
      </c>
      <c r="F137" s="315" t="s">
        <v>414</v>
      </c>
      <c r="H137" s="526">
        <f>'PRICE LIST'!H138</f>
        <v>120.5</v>
      </c>
      <c r="I137" s="526">
        <f t="shared" si="70"/>
        <v>0</v>
      </c>
      <c r="K137" s="316" cm="1">
        <f t="array" ref="K137">_xlfn.IFS(M$2=1,'PRICE LIST'!L138,M$2=2,'PRICE LIST'!O138,$M$2=3,'PRICE LIST'!AA138,$M$2=4,H137*$H$2)</f>
        <v>241</v>
      </c>
      <c r="M137" s="339">
        <f t="shared" si="71"/>
        <v>0</v>
      </c>
      <c r="N137" s="376">
        <f t="shared" si="72"/>
        <v>0</v>
      </c>
      <c r="P137" s="339" t="e">
        <f t="shared" si="73"/>
        <v>#DIV/0!</v>
      </c>
      <c r="Q137" s="339">
        <f>N137*'MONTAJE CERR PROPIOS STE EP'!$C$18</f>
        <v>0</v>
      </c>
      <c r="S137" s="339" t="e">
        <f t="shared" si="74"/>
        <v>#DIV/0!</v>
      </c>
      <c r="T137" s="339">
        <f t="shared" si="75"/>
        <v>0</v>
      </c>
      <c r="V137" s="315"/>
      <c r="W137" s="339" t="e">
        <f t="shared" si="76"/>
        <v>#DIV/0!</v>
      </c>
      <c r="X137" s="339">
        <f t="shared" si="77"/>
        <v>0</v>
      </c>
      <c r="Y137" s="315"/>
      <c r="Z137" s="315"/>
      <c r="AA137" s="315"/>
      <c r="AB137" s="315"/>
    </row>
    <row r="138" spans="2:28" ht="12.75" hidden="1" customHeight="1" thickBot="1" x14ac:dyDescent="0.4">
      <c r="B138" s="55"/>
      <c r="C138" s="535" t="s">
        <v>864</v>
      </c>
      <c r="D138" s="314" t="s">
        <v>126</v>
      </c>
      <c r="E138" s="385">
        <v>0</v>
      </c>
      <c r="F138" s="315" t="s">
        <v>414</v>
      </c>
      <c r="H138" s="526">
        <f>'PRICE LIST'!H139</f>
        <v>0</v>
      </c>
      <c r="I138" s="526">
        <f t="shared" si="70"/>
        <v>0</v>
      </c>
      <c r="K138" s="316" cm="1">
        <f t="array" ref="K138">_xlfn.IFS(M$2=1,'PRICE LIST'!L139,M$2=2,'PRICE LIST'!O139,$M$2=3,'PRICE LIST'!AA139,$M$2=4,H138*$H$2)</f>
        <v>0</v>
      </c>
      <c r="M138" s="339">
        <f t="shared" si="71"/>
        <v>0</v>
      </c>
      <c r="N138" s="376">
        <f t="shared" si="72"/>
        <v>0</v>
      </c>
      <c r="P138" s="339" t="e">
        <f t="shared" si="73"/>
        <v>#DIV/0!</v>
      </c>
      <c r="Q138" s="339">
        <f>N138*'MONTAJE CERR PROPIOS STE EP'!$C$18</f>
        <v>0</v>
      </c>
      <c r="S138" s="339" t="e">
        <f t="shared" si="74"/>
        <v>#DIV/0!</v>
      </c>
      <c r="T138" s="339">
        <f t="shared" si="75"/>
        <v>0</v>
      </c>
      <c r="V138" s="315"/>
      <c r="W138" s="339" t="e">
        <f t="shared" si="76"/>
        <v>#DIV/0!</v>
      </c>
      <c r="X138" s="339">
        <f t="shared" si="77"/>
        <v>0</v>
      </c>
      <c r="Y138" s="315"/>
      <c r="Z138" s="315"/>
      <c r="AA138" s="315"/>
      <c r="AB138" s="315"/>
    </row>
    <row r="139" spans="2:28" ht="15" hidden="1" thickBot="1" x14ac:dyDescent="0.4">
      <c r="B139" s="55"/>
      <c r="C139" s="535" t="s">
        <v>865</v>
      </c>
      <c r="D139" s="314" t="s">
        <v>128</v>
      </c>
      <c r="E139" s="385">
        <v>0</v>
      </c>
      <c r="F139" s="315" t="s">
        <v>414</v>
      </c>
      <c r="H139" s="526">
        <f>'PRICE LIST'!H140</f>
        <v>170.25</v>
      </c>
      <c r="I139" s="526">
        <f t="shared" si="70"/>
        <v>0</v>
      </c>
      <c r="K139" s="316" cm="1">
        <f t="array" ref="K139">_xlfn.IFS(M$2=1,'PRICE LIST'!L140,M$2=2,'PRICE LIST'!O140,$M$2=3,'PRICE LIST'!AA140,$M$2=4,H139*$H$2)</f>
        <v>340.5</v>
      </c>
      <c r="M139" s="339">
        <f t="shared" si="71"/>
        <v>0</v>
      </c>
      <c r="N139" s="376">
        <f t="shared" si="72"/>
        <v>0</v>
      </c>
      <c r="P139" s="339" t="e">
        <f t="shared" si="73"/>
        <v>#DIV/0!</v>
      </c>
      <c r="Q139" s="339">
        <f>N139*'MONTAJE CERR PROPIOS STE EP'!$C$18</f>
        <v>0</v>
      </c>
      <c r="S139" s="339" t="e">
        <f t="shared" si="74"/>
        <v>#DIV/0!</v>
      </c>
      <c r="T139" s="339">
        <f t="shared" si="75"/>
        <v>0</v>
      </c>
      <c r="V139" s="315"/>
      <c r="W139" s="339" t="e">
        <f t="shared" si="76"/>
        <v>#DIV/0!</v>
      </c>
      <c r="X139" s="339">
        <f t="shared" si="77"/>
        <v>0</v>
      </c>
      <c r="Y139" s="315"/>
      <c r="Z139" s="315"/>
      <c r="AA139" s="315"/>
      <c r="AB139" s="315"/>
    </row>
    <row r="140" spans="2:28" ht="15" hidden="1" thickBot="1" x14ac:dyDescent="0.4">
      <c r="B140" s="55"/>
      <c r="C140" s="535" t="s">
        <v>866</v>
      </c>
      <c r="D140" s="314" t="s">
        <v>130</v>
      </c>
      <c r="E140" s="385">
        <v>0</v>
      </c>
      <c r="F140" s="315" t="s">
        <v>414</v>
      </c>
      <c r="H140" s="526">
        <f>'PRICE LIST'!H141</f>
        <v>83.6</v>
      </c>
      <c r="I140" s="526">
        <f t="shared" si="70"/>
        <v>0</v>
      </c>
      <c r="K140" s="316" cm="1">
        <f t="array" ref="K140">_xlfn.IFS(M$2=1,'PRICE LIST'!L141,M$2=2,'PRICE LIST'!O141,$M$2=3,'PRICE LIST'!AA141,$M$2=4,H140*$H$2)</f>
        <v>0</v>
      </c>
      <c r="M140" s="339">
        <f t="shared" si="71"/>
        <v>0</v>
      </c>
      <c r="N140" s="376">
        <f t="shared" si="72"/>
        <v>0</v>
      </c>
      <c r="P140" s="339" t="e">
        <f t="shared" si="73"/>
        <v>#DIV/0!</v>
      </c>
      <c r="Q140" s="339">
        <f>N140*'MONTAJE CERR PROPIOS STE EP'!$C$18</f>
        <v>0</v>
      </c>
      <c r="S140" s="339" t="e">
        <f t="shared" si="74"/>
        <v>#DIV/0!</v>
      </c>
      <c r="T140" s="339">
        <f t="shared" si="75"/>
        <v>0</v>
      </c>
      <c r="V140" s="315"/>
      <c r="W140" s="339" t="e">
        <f t="shared" si="76"/>
        <v>#DIV/0!</v>
      </c>
      <c r="X140" s="339">
        <f t="shared" si="77"/>
        <v>0</v>
      </c>
      <c r="Y140" s="315"/>
      <c r="Z140" s="315"/>
      <c r="AA140" s="315"/>
      <c r="AB140" s="315"/>
    </row>
    <row r="141" spans="2:28" ht="15" hidden="1" thickBot="1" x14ac:dyDescent="0.4">
      <c r="B141" s="55"/>
      <c r="C141" s="535" t="s">
        <v>867</v>
      </c>
      <c r="D141" s="314" t="s">
        <v>131</v>
      </c>
      <c r="E141" s="385">
        <v>0</v>
      </c>
      <c r="F141" s="315" t="s">
        <v>414</v>
      </c>
      <c r="H141" s="526">
        <f>'PRICE LIST'!H142</f>
        <v>29.78</v>
      </c>
      <c r="I141" s="526">
        <f t="shared" si="70"/>
        <v>0</v>
      </c>
      <c r="K141" s="316" cm="1">
        <f t="array" ref="K141">_xlfn.IFS(M$2=1,'PRICE LIST'!L142,M$2=2,'PRICE LIST'!O142,$M$2=3,'PRICE LIST'!AA142,$M$2=4,H141*$H$2)</f>
        <v>78.399999999999991</v>
      </c>
      <c r="M141" s="339">
        <f t="shared" si="71"/>
        <v>0</v>
      </c>
      <c r="N141" s="376">
        <f t="shared" si="72"/>
        <v>0</v>
      </c>
      <c r="P141" s="339" t="e">
        <f t="shared" si="73"/>
        <v>#DIV/0!</v>
      </c>
      <c r="Q141" s="339">
        <f>N141*'MONTAJE CERR PROPIOS STE EP'!$C$18</f>
        <v>0</v>
      </c>
      <c r="S141" s="339" t="e">
        <f t="shared" si="74"/>
        <v>#DIV/0!</v>
      </c>
      <c r="T141" s="339">
        <f t="shared" si="75"/>
        <v>0</v>
      </c>
      <c r="V141" s="315"/>
      <c r="W141" s="339" t="e">
        <f t="shared" si="76"/>
        <v>#DIV/0!</v>
      </c>
      <c r="X141" s="339">
        <f t="shared" si="77"/>
        <v>0</v>
      </c>
      <c r="Y141" s="315"/>
      <c r="Z141" s="315"/>
      <c r="AA141" s="315"/>
      <c r="AB141" s="315"/>
    </row>
    <row r="142" spans="2:28" ht="15" hidden="1" thickBot="1" x14ac:dyDescent="0.4">
      <c r="B142" s="55"/>
      <c r="C142" s="535" t="s">
        <v>868</v>
      </c>
      <c r="D142" s="314" t="s">
        <v>132</v>
      </c>
      <c r="E142" s="385">
        <v>0</v>
      </c>
      <c r="F142" s="315" t="s">
        <v>414</v>
      </c>
      <c r="H142" s="526">
        <f>'PRICE LIST'!H143</f>
        <v>34.43</v>
      </c>
      <c r="I142" s="526">
        <f t="shared" si="70"/>
        <v>0</v>
      </c>
      <c r="K142" s="316" cm="1">
        <f t="array" ref="K142">_xlfn.IFS(M$2=1,'PRICE LIST'!L143,M$2=2,'PRICE LIST'!O143,$M$2=3,'PRICE LIST'!AA143,$M$2=4,H142*$H$2)</f>
        <v>90.699999999999989</v>
      </c>
      <c r="M142" s="339">
        <f t="shared" si="71"/>
        <v>0</v>
      </c>
      <c r="N142" s="376">
        <f t="shared" si="72"/>
        <v>0</v>
      </c>
      <c r="P142" s="339" t="e">
        <f t="shared" si="73"/>
        <v>#DIV/0!</v>
      </c>
      <c r="Q142" s="339">
        <f>N142*'MONTAJE CERR PROPIOS STE EP'!$C$18</f>
        <v>0</v>
      </c>
      <c r="S142" s="339" t="e">
        <f t="shared" si="74"/>
        <v>#DIV/0!</v>
      </c>
      <c r="T142" s="339">
        <f t="shared" si="75"/>
        <v>0</v>
      </c>
      <c r="V142" s="315"/>
      <c r="W142" s="339" t="e">
        <f t="shared" si="76"/>
        <v>#DIV/0!</v>
      </c>
      <c r="X142" s="339">
        <f t="shared" si="77"/>
        <v>0</v>
      </c>
      <c r="Y142" s="315"/>
      <c r="Z142" s="315"/>
      <c r="AA142" s="315"/>
      <c r="AB142" s="315"/>
    </row>
    <row r="143" spans="2:28" ht="15" hidden="1" thickBot="1" x14ac:dyDescent="0.4">
      <c r="B143" s="55"/>
      <c r="C143" s="535" t="s">
        <v>869</v>
      </c>
      <c r="D143" s="314" t="s">
        <v>133</v>
      </c>
      <c r="E143" s="385">
        <v>0</v>
      </c>
      <c r="F143" s="315" t="s">
        <v>414</v>
      </c>
      <c r="H143" s="526">
        <f>'PRICE LIST'!H144</f>
        <v>44.15</v>
      </c>
      <c r="I143" s="526">
        <f t="shared" si="70"/>
        <v>0</v>
      </c>
      <c r="K143" s="316" cm="1">
        <f t="array" ref="K143">_xlfn.IFS(M$2=1,'PRICE LIST'!L144,M$2=2,'PRICE LIST'!O144,$M$2=3,'PRICE LIST'!AA144,$M$2=4,H143*$H$2)</f>
        <v>116.19999999999999</v>
      </c>
      <c r="M143" s="339">
        <f t="shared" si="71"/>
        <v>0</v>
      </c>
      <c r="N143" s="376">
        <f t="shared" si="72"/>
        <v>0</v>
      </c>
      <c r="P143" s="339" t="e">
        <f t="shared" si="73"/>
        <v>#DIV/0!</v>
      </c>
      <c r="Q143" s="339">
        <f>N143*'MONTAJE CERR PROPIOS STE EP'!$C$18</f>
        <v>0</v>
      </c>
      <c r="S143" s="339" t="e">
        <f t="shared" si="74"/>
        <v>#DIV/0!</v>
      </c>
      <c r="T143" s="339">
        <f t="shared" si="75"/>
        <v>0</v>
      </c>
      <c r="V143" s="315"/>
      <c r="W143" s="339" t="e">
        <f t="shared" si="76"/>
        <v>#DIV/0!</v>
      </c>
      <c r="X143" s="339">
        <f t="shared" si="77"/>
        <v>0</v>
      </c>
      <c r="Y143" s="315"/>
      <c r="Z143" s="315"/>
      <c r="AA143" s="315"/>
      <c r="AB143" s="315"/>
    </row>
    <row r="144" spans="2:28" ht="15" hidden="1" thickBot="1" x14ac:dyDescent="0.4">
      <c r="B144" s="55"/>
      <c r="C144" s="535" t="s">
        <v>870</v>
      </c>
      <c r="D144" s="314" t="s">
        <v>134</v>
      </c>
      <c r="E144" s="385">
        <v>0</v>
      </c>
      <c r="F144" s="315" t="s">
        <v>414</v>
      </c>
      <c r="H144" s="526">
        <f>'PRICE LIST'!H145</f>
        <v>165</v>
      </c>
      <c r="I144" s="526">
        <f t="shared" si="70"/>
        <v>0</v>
      </c>
      <c r="K144" s="316" cm="1">
        <f t="array" ref="K144">_xlfn.IFS(M$2=1,'PRICE LIST'!L145,M$2=2,'PRICE LIST'!O145,$M$2=3,'PRICE LIST'!AA145,$M$2=4,H144*$H$2)</f>
        <v>330</v>
      </c>
      <c r="M144" s="339">
        <f t="shared" si="71"/>
        <v>0</v>
      </c>
      <c r="N144" s="376">
        <f t="shared" si="72"/>
        <v>0</v>
      </c>
      <c r="P144" s="339" t="e">
        <f t="shared" si="73"/>
        <v>#DIV/0!</v>
      </c>
      <c r="Q144" s="339">
        <f>N144*'MONTAJE CERR PROPIOS STE EP'!$C$18</f>
        <v>0</v>
      </c>
      <c r="S144" s="339" t="e">
        <f t="shared" si="74"/>
        <v>#DIV/0!</v>
      </c>
      <c r="T144" s="339">
        <f t="shared" si="75"/>
        <v>0</v>
      </c>
      <c r="V144" s="315"/>
      <c r="W144" s="339" t="e">
        <f t="shared" si="76"/>
        <v>#DIV/0!</v>
      </c>
      <c r="X144" s="339">
        <f t="shared" si="77"/>
        <v>0</v>
      </c>
      <c r="Y144" s="315"/>
      <c r="Z144" s="315"/>
      <c r="AA144" s="315"/>
      <c r="AB144" s="315"/>
    </row>
    <row r="145" spans="2:28" ht="15" hidden="1" thickBot="1" x14ac:dyDescent="0.4">
      <c r="B145" s="55"/>
      <c r="C145" s="535" t="s">
        <v>871</v>
      </c>
      <c r="D145" s="314" t="s">
        <v>135</v>
      </c>
      <c r="E145" s="385">
        <v>0</v>
      </c>
      <c r="F145" s="315" t="s">
        <v>414</v>
      </c>
      <c r="H145" s="526">
        <f>'PRICE LIST'!H146</f>
        <v>0</v>
      </c>
      <c r="I145" s="526">
        <f t="shared" si="70"/>
        <v>0</v>
      </c>
      <c r="K145" s="316" cm="1">
        <f t="array" ref="K145">_xlfn.IFS(M$2=1,'PRICE LIST'!L146,M$2=2,'PRICE LIST'!O146,$M$2=3,'PRICE LIST'!AA146,$M$2=4,H145*$H$2)</f>
        <v>0</v>
      </c>
      <c r="M145" s="339">
        <f t="shared" si="71"/>
        <v>0</v>
      </c>
      <c r="N145" s="376">
        <f t="shared" si="72"/>
        <v>0</v>
      </c>
      <c r="P145" s="339" t="e">
        <f t="shared" si="73"/>
        <v>#DIV/0!</v>
      </c>
      <c r="Q145" s="339">
        <f>N145*'MONTAJE CERR PROPIOS STE EP'!$C$18</f>
        <v>0</v>
      </c>
      <c r="S145" s="339" t="e">
        <f t="shared" si="74"/>
        <v>#DIV/0!</v>
      </c>
      <c r="T145" s="339">
        <f t="shared" si="75"/>
        <v>0</v>
      </c>
      <c r="V145" s="315"/>
      <c r="W145" s="339" t="e">
        <f t="shared" si="76"/>
        <v>#DIV/0!</v>
      </c>
      <c r="X145" s="339">
        <f t="shared" si="77"/>
        <v>0</v>
      </c>
      <c r="Y145" s="315"/>
      <c r="Z145" s="315"/>
      <c r="AA145" s="315"/>
      <c r="AB145" s="315"/>
    </row>
    <row r="146" spans="2:28" ht="15" hidden="1" thickBot="1" x14ac:dyDescent="0.4">
      <c r="B146" s="55"/>
      <c r="C146" s="535" t="s">
        <v>872</v>
      </c>
      <c r="D146" s="314" t="s">
        <v>136</v>
      </c>
      <c r="E146" s="385">
        <v>0</v>
      </c>
      <c r="F146" s="315" t="s">
        <v>414</v>
      </c>
      <c r="H146" s="526">
        <f>'PRICE LIST'!H147</f>
        <v>0</v>
      </c>
      <c r="I146" s="526">
        <f t="shared" si="70"/>
        <v>0</v>
      </c>
      <c r="K146" s="316" cm="1">
        <f t="array" ref="K146">_xlfn.IFS(M$2=1,'PRICE LIST'!L147,M$2=2,'PRICE LIST'!O147,$M$2=3,'PRICE LIST'!AA147,$M$2=4,H146*$H$2)</f>
        <v>0</v>
      </c>
      <c r="M146" s="339">
        <f t="shared" si="71"/>
        <v>0</v>
      </c>
      <c r="N146" s="376">
        <f t="shared" si="72"/>
        <v>0</v>
      </c>
      <c r="P146" s="339" t="e">
        <f t="shared" si="73"/>
        <v>#DIV/0!</v>
      </c>
      <c r="Q146" s="339">
        <f>N146*'MONTAJE CERR PROPIOS STE EP'!$C$18</f>
        <v>0</v>
      </c>
      <c r="S146" s="339" t="e">
        <f t="shared" si="74"/>
        <v>#DIV/0!</v>
      </c>
      <c r="T146" s="339">
        <f t="shared" si="75"/>
        <v>0</v>
      </c>
      <c r="V146" s="315"/>
      <c r="W146" s="339" t="e">
        <f t="shared" si="76"/>
        <v>#DIV/0!</v>
      </c>
      <c r="X146" s="339">
        <f t="shared" si="77"/>
        <v>0</v>
      </c>
      <c r="Y146" s="315"/>
      <c r="Z146" s="315"/>
      <c r="AA146" s="315"/>
      <c r="AB146" s="315"/>
    </row>
    <row r="147" spans="2:28" ht="15" hidden="1" thickBot="1" x14ac:dyDescent="0.4">
      <c r="B147" s="55"/>
      <c r="C147" s="535" t="s">
        <v>873</v>
      </c>
      <c r="D147" s="314" t="s">
        <v>427</v>
      </c>
      <c r="E147" s="385">
        <v>0</v>
      </c>
      <c r="F147" s="315" t="s">
        <v>428</v>
      </c>
      <c r="H147" s="526">
        <f>'PRICE LIST'!H148</f>
        <v>129</v>
      </c>
      <c r="I147" s="526">
        <f t="shared" si="70"/>
        <v>0</v>
      </c>
      <c r="K147" s="316" cm="1">
        <f t="array" ref="K147">_xlfn.IFS(M$2=1,'PRICE LIST'!L148,M$2=2,'PRICE LIST'!O148,$M$2=3,'PRICE LIST'!AA148,$M$2=4,H147*$H$2)</f>
        <v>215</v>
      </c>
      <c r="M147" s="339">
        <f t="shared" si="71"/>
        <v>0</v>
      </c>
      <c r="N147" s="376">
        <f t="shared" si="72"/>
        <v>0</v>
      </c>
      <c r="P147" s="339" t="e">
        <f t="shared" si="73"/>
        <v>#DIV/0!</v>
      </c>
      <c r="Q147" s="339">
        <f>N147*'MONTAJE CERR PROPIOS STE EP'!$C$18</f>
        <v>0</v>
      </c>
      <c r="S147" s="339" t="e">
        <f t="shared" si="74"/>
        <v>#DIV/0!</v>
      </c>
      <c r="T147" s="339">
        <f t="shared" si="75"/>
        <v>0</v>
      </c>
      <c r="V147" s="315"/>
      <c r="W147" s="339" t="e">
        <f t="shared" si="76"/>
        <v>#DIV/0!</v>
      </c>
      <c r="X147" s="339">
        <f t="shared" si="77"/>
        <v>0</v>
      </c>
      <c r="Y147" s="315"/>
      <c r="Z147" s="315"/>
      <c r="AA147" s="315"/>
      <c r="AB147" s="315"/>
    </row>
    <row r="148" spans="2:28" ht="15" hidden="1" thickBot="1" x14ac:dyDescent="0.4">
      <c r="B148" s="55"/>
      <c r="C148" s="535"/>
      <c r="D148" s="314" t="s">
        <v>1018</v>
      </c>
      <c r="E148" s="385">
        <v>0</v>
      </c>
      <c r="F148" s="315" t="s">
        <v>414</v>
      </c>
      <c r="H148" s="526">
        <f>'PRICE LIST'!H149</f>
        <v>1800</v>
      </c>
      <c r="I148" s="526">
        <f t="shared" si="70"/>
        <v>0</v>
      </c>
      <c r="K148" s="316" cm="1">
        <f t="array" ref="K148">_xlfn.IFS(M$2=1,'PRICE LIST'!L149,M$2=2,'PRICE LIST'!O149,$M$2=3,'PRICE LIST'!AA149,$M$2=4,H148*$H$2)</f>
        <v>3600</v>
      </c>
      <c r="M148" s="339">
        <f t="shared" si="71"/>
        <v>0</v>
      </c>
      <c r="N148" s="376">
        <f t="shared" si="72"/>
        <v>0</v>
      </c>
      <c r="P148" s="339" t="e">
        <f t="shared" si="73"/>
        <v>#DIV/0!</v>
      </c>
      <c r="Q148" s="339">
        <f>N148*'MONTAJE CERR PROPIOS STE EP'!$C$18</f>
        <v>0</v>
      </c>
      <c r="S148" s="339" t="e">
        <f t="shared" si="74"/>
        <v>#DIV/0!</v>
      </c>
      <c r="T148" s="339">
        <f t="shared" si="75"/>
        <v>0</v>
      </c>
      <c r="V148" s="315"/>
      <c r="W148" s="339" t="e">
        <f t="shared" si="76"/>
        <v>#DIV/0!</v>
      </c>
      <c r="X148" s="339">
        <f t="shared" si="77"/>
        <v>0</v>
      </c>
      <c r="Y148" s="315"/>
      <c r="Z148" s="315"/>
      <c r="AA148" s="315"/>
      <c r="AB148" s="315"/>
    </row>
    <row r="149" spans="2:28" hidden="1" x14ac:dyDescent="0.25">
      <c r="M149" s="339"/>
      <c r="P149" s="339"/>
      <c r="Q149" s="339"/>
      <c r="S149" s="339"/>
      <c r="T149" s="339"/>
      <c r="V149" s="315"/>
      <c r="W149" s="339"/>
      <c r="X149" s="339"/>
      <c r="Y149" s="315"/>
      <c r="Z149" s="315"/>
      <c r="AA149" s="315"/>
      <c r="AB149" s="315"/>
    </row>
    <row r="150" spans="2:28" ht="13" hidden="1" x14ac:dyDescent="0.3">
      <c r="B150" s="336" t="s">
        <v>429</v>
      </c>
      <c r="C150" s="336"/>
      <c r="D150" s="336" t="s">
        <v>139</v>
      </c>
      <c r="E150" s="336"/>
      <c r="F150" s="336"/>
      <c r="G150" s="336"/>
      <c r="M150" s="339"/>
      <c r="P150" s="339"/>
      <c r="Q150" s="339"/>
      <c r="S150" s="339"/>
      <c r="T150" s="339"/>
      <c r="V150" s="315"/>
      <c r="W150" s="339"/>
      <c r="X150" s="339"/>
      <c r="Y150" s="315"/>
      <c r="Z150" s="315"/>
      <c r="AA150" s="315"/>
      <c r="AB150" s="315"/>
    </row>
    <row r="151" spans="2:28" ht="15" hidden="1" thickBot="1" x14ac:dyDescent="0.4">
      <c r="B151" s="55" t="s">
        <v>140</v>
      </c>
      <c r="C151" s="535" t="s">
        <v>874</v>
      </c>
      <c r="D151" s="55" t="s">
        <v>141</v>
      </c>
      <c r="E151" s="386">
        <f>METRAJE!D84</f>
        <v>0</v>
      </c>
      <c r="F151" s="315" t="s">
        <v>414</v>
      </c>
      <c r="H151" s="526">
        <f>'PRICE LIST'!H153</f>
        <v>3840</v>
      </c>
      <c r="I151" s="526">
        <f>H151*E151</f>
        <v>0</v>
      </c>
      <c r="K151" s="316" cm="1">
        <f t="array" ref="K151">_xlfn.IFS(M$2=1,'PRICE LIST'!L153,M$2=2,'PRICE LIST'!O153,$M$2=3,'PRICE LIST'!AA153,$M$2=4,H151*$H$2)</f>
        <v>5907.7000000000007</v>
      </c>
      <c r="M151" s="339">
        <f>K151*E151</f>
        <v>0</v>
      </c>
      <c r="N151" s="376">
        <f>M151/$M$250</f>
        <v>0</v>
      </c>
      <c r="P151" s="339" t="e">
        <f t="shared" ref="P151:P154" si="78">Q151/E151</f>
        <v>#DIV/0!</v>
      </c>
      <c r="Q151" s="339">
        <f>N151*'MONTAJE CERR PROPIOS STE EP'!$C$18</f>
        <v>0</v>
      </c>
      <c r="S151" s="339" t="e">
        <f t="shared" ref="S151:T154" si="79">P151*FMONTAJE</f>
        <v>#DIV/0!</v>
      </c>
      <c r="T151" s="339">
        <f t="shared" si="79"/>
        <v>0</v>
      </c>
      <c r="V151" s="315"/>
      <c r="W151" s="339" t="e">
        <f t="shared" ref="W151:W160" si="80">K151+S151</f>
        <v>#DIV/0!</v>
      </c>
      <c r="X151" s="339">
        <f t="shared" ref="X151:X160" si="81">M151+T151</f>
        <v>0</v>
      </c>
      <c r="Y151" s="315"/>
      <c r="Z151" s="315"/>
      <c r="AA151" s="315"/>
      <c r="AB151" s="315"/>
    </row>
    <row r="152" spans="2:28" ht="17.25" hidden="1" customHeight="1" thickBot="1" x14ac:dyDescent="0.4">
      <c r="B152" s="55" t="s">
        <v>142</v>
      </c>
      <c r="C152" s="535" t="s">
        <v>875</v>
      </c>
      <c r="D152" s="55" t="s">
        <v>143</v>
      </c>
      <c r="E152" s="386">
        <f>METRAJE!D85</f>
        <v>0</v>
      </c>
      <c r="F152" s="315" t="s">
        <v>414</v>
      </c>
      <c r="H152" s="526">
        <f>'PRICE LIST'!H154</f>
        <v>3908</v>
      </c>
      <c r="I152" s="526">
        <f>H152*E152</f>
        <v>0</v>
      </c>
      <c r="K152" s="316" cm="1">
        <f t="array" ref="K152">_xlfn.IFS(M$2=1,'PRICE LIST'!L154,M$2=2,'PRICE LIST'!O154,$M$2=3,'PRICE LIST'!AA154,$M$2=4,H152*$H$2)</f>
        <v>6012.4000000000005</v>
      </c>
      <c r="M152" s="339">
        <f>K152*E152</f>
        <v>0</v>
      </c>
      <c r="N152" s="376">
        <f>M152/$M$250</f>
        <v>0</v>
      </c>
      <c r="P152" s="339" t="e">
        <f t="shared" si="78"/>
        <v>#DIV/0!</v>
      </c>
      <c r="Q152" s="339">
        <f>N152*'MONTAJE CERR PROPIOS STE EP'!$C$18</f>
        <v>0</v>
      </c>
      <c r="S152" s="339" t="e">
        <f t="shared" si="79"/>
        <v>#DIV/0!</v>
      </c>
      <c r="T152" s="339">
        <f t="shared" si="79"/>
        <v>0</v>
      </c>
      <c r="V152" s="315"/>
      <c r="W152" s="339" t="e">
        <f t="shared" si="80"/>
        <v>#DIV/0!</v>
      </c>
      <c r="X152" s="339">
        <f t="shared" si="81"/>
        <v>0</v>
      </c>
      <c r="Y152" s="315"/>
      <c r="Z152" s="315"/>
      <c r="AA152" s="315"/>
      <c r="AB152" s="315"/>
    </row>
    <row r="153" spans="2:28" ht="17.25" hidden="1" customHeight="1" thickBot="1" x14ac:dyDescent="0.4">
      <c r="B153" s="55" t="s">
        <v>144</v>
      </c>
      <c r="C153" s="535" t="s">
        <v>876</v>
      </c>
      <c r="D153" s="55" t="s">
        <v>145</v>
      </c>
      <c r="E153" s="386">
        <f>METRAJE!D86</f>
        <v>0</v>
      </c>
      <c r="F153" s="315" t="s">
        <v>414</v>
      </c>
      <c r="H153" s="526">
        <f>'PRICE LIST'!H155</f>
        <v>4072</v>
      </c>
      <c r="I153" s="526">
        <f>H153*E153</f>
        <v>0</v>
      </c>
      <c r="K153" s="316" cm="1">
        <f t="array" ref="K153">_xlfn.IFS(M$2=1,'PRICE LIST'!L155,M$2=2,'PRICE LIST'!O155,$M$2=3,'PRICE LIST'!AA155,$M$2=4,H153*$H$2)</f>
        <v>6264.7000000000007</v>
      </c>
      <c r="M153" s="339">
        <f>K153*E153</f>
        <v>0</v>
      </c>
      <c r="N153" s="376">
        <f>M153/$M$250</f>
        <v>0</v>
      </c>
      <c r="P153" s="339" t="e">
        <f t="shared" si="78"/>
        <v>#DIV/0!</v>
      </c>
      <c r="Q153" s="339">
        <f>N153*'MONTAJE CERR PROPIOS STE EP'!$C$18</f>
        <v>0</v>
      </c>
      <c r="S153" s="339" t="e">
        <f t="shared" si="79"/>
        <v>#DIV/0!</v>
      </c>
      <c r="T153" s="339">
        <f t="shared" si="79"/>
        <v>0</v>
      </c>
      <c r="V153" s="315"/>
      <c r="W153" s="339" t="e">
        <f t="shared" si="80"/>
        <v>#DIV/0!</v>
      </c>
      <c r="X153" s="339">
        <f t="shared" si="81"/>
        <v>0</v>
      </c>
      <c r="Y153" s="315"/>
      <c r="Z153" s="315"/>
      <c r="AA153" s="315"/>
      <c r="AB153" s="315"/>
    </row>
    <row r="154" spans="2:28" ht="17.25" hidden="1" customHeight="1" thickBot="1" x14ac:dyDescent="0.4">
      <c r="B154" s="55" t="s">
        <v>146</v>
      </c>
      <c r="C154" s="535" t="s">
        <v>877</v>
      </c>
      <c r="D154" s="55" t="s">
        <v>147</v>
      </c>
      <c r="E154" s="386">
        <f>METRAJE!D87</f>
        <v>0</v>
      </c>
      <c r="F154" s="315" t="s">
        <v>414</v>
      </c>
      <c r="H154" s="526">
        <f>'PRICE LIST'!H156</f>
        <v>4151</v>
      </c>
      <c r="I154" s="526">
        <f>H154*E154</f>
        <v>0</v>
      </c>
      <c r="K154" s="316" cm="1">
        <f t="array" ref="K154">_xlfn.IFS(M$2=1,'PRICE LIST'!L156,M$2=2,'PRICE LIST'!O156,$M$2=3,'PRICE LIST'!AA156,$M$2=4,H154*$H$2)</f>
        <v>6386.2000000000007</v>
      </c>
      <c r="M154" s="339">
        <f>K154*E154</f>
        <v>0</v>
      </c>
      <c r="N154" s="376">
        <f>M154/$M$250</f>
        <v>0</v>
      </c>
      <c r="P154" s="339" t="e">
        <f t="shared" si="78"/>
        <v>#DIV/0!</v>
      </c>
      <c r="Q154" s="339">
        <f>N154*'MONTAJE CERR PROPIOS STE EP'!$C$18</f>
        <v>0</v>
      </c>
      <c r="S154" s="339" t="e">
        <f t="shared" si="79"/>
        <v>#DIV/0!</v>
      </c>
      <c r="T154" s="339">
        <f t="shared" si="79"/>
        <v>0</v>
      </c>
      <c r="V154" s="315"/>
      <c r="W154" s="339" t="e">
        <f t="shared" si="80"/>
        <v>#DIV/0!</v>
      </c>
      <c r="X154" s="339">
        <f t="shared" si="81"/>
        <v>0</v>
      </c>
      <c r="Y154" s="315"/>
      <c r="Z154" s="315"/>
      <c r="AA154" s="315"/>
      <c r="AB154" s="315"/>
    </row>
    <row r="155" spans="2:28" ht="16.5" hidden="1" customHeight="1" x14ac:dyDescent="0.35">
      <c r="B155" s="55"/>
      <c r="C155" s="535"/>
      <c r="M155" s="339"/>
      <c r="P155" s="339"/>
      <c r="Q155" s="339"/>
      <c r="S155" s="339"/>
      <c r="T155" s="339"/>
      <c r="V155" s="315"/>
      <c r="W155" s="339"/>
      <c r="X155" s="339"/>
      <c r="Y155" s="315"/>
      <c r="Z155" s="315"/>
      <c r="AA155" s="315"/>
      <c r="AB155" s="315"/>
    </row>
    <row r="156" spans="2:28" ht="14.5" hidden="1" x14ac:dyDescent="0.35">
      <c r="B156" s="55"/>
      <c r="C156" s="535"/>
      <c r="D156" s="341" t="s">
        <v>148</v>
      </c>
      <c r="E156" s="341"/>
      <c r="F156" s="342"/>
      <c r="G156" s="342"/>
      <c r="M156" s="339"/>
      <c r="N156" s="339"/>
      <c r="O156" s="339"/>
      <c r="P156" s="339"/>
      <c r="Q156" s="339"/>
      <c r="R156" s="339"/>
      <c r="S156" s="339"/>
      <c r="T156" s="339"/>
      <c r="V156" s="315"/>
      <c r="W156" s="339"/>
      <c r="X156" s="339"/>
      <c r="Y156" s="315"/>
      <c r="Z156" s="315"/>
      <c r="AA156" s="315"/>
      <c r="AB156" s="315"/>
    </row>
    <row r="157" spans="2:28" ht="15" hidden="1" thickBot="1" x14ac:dyDescent="0.4">
      <c r="B157" s="55"/>
      <c r="C157" s="535" t="s">
        <v>878</v>
      </c>
      <c r="D157" s="314" t="s">
        <v>149</v>
      </c>
      <c r="E157" s="385">
        <v>0</v>
      </c>
      <c r="F157" s="315" t="s">
        <v>414</v>
      </c>
      <c r="H157" s="526">
        <f>'PRICE LIST'!H159</f>
        <v>0</v>
      </c>
      <c r="I157" s="526">
        <f>H157*E157</f>
        <v>0</v>
      </c>
      <c r="K157" s="316" cm="1">
        <f t="array" ref="K157">_xlfn.IFS(M$2=1,'PRICE LIST'!L159,M$2=2,'PRICE LIST'!O159,$M$2=3,'PRICE LIST'!AA159,$M$2=4,H157*$H$2)</f>
        <v>0</v>
      </c>
      <c r="M157" s="339">
        <f>K157*E157</f>
        <v>0</v>
      </c>
      <c r="N157" s="376">
        <f>M157/$M$250</f>
        <v>0</v>
      </c>
      <c r="P157" s="339" t="e">
        <f t="shared" ref="P157:P160" si="82">Q157/E157</f>
        <v>#DIV/0!</v>
      </c>
      <c r="Q157" s="339">
        <f>N157*'MONTAJE CERR PROPIOS STE EP'!$C$18</f>
        <v>0</v>
      </c>
      <c r="S157" s="339" t="e">
        <f t="shared" ref="S157:S160" si="83">P157*FMONTAJE</f>
        <v>#DIV/0!</v>
      </c>
      <c r="T157" s="339">
        <f t="shared" ref="T157:T160" si="84">Q157*FMONTAJE</f>
        <v>0</v>
      </c>
      <c r="V157" s="315"/>
      <c r="W157" s="339" t="e">
        <f t="shared" si="80"/>
        <v>#DIV/0!</v>
      </c>
      <c r="X157" s="339">
        <f t="shared" si="81"/>
        <v>0</v>
      </c>
      <c r="Y157" s="315"/>
      <c r="Z157" s="315"/>
      <c r="AA157" s="315"/>
      <c r="AB157" s="315"/>
    </row>
    <row r="158" spans="2:28" ht="15" hidden="1" customHeight="1" thickBot="1" x14ac:dyDescent="0.4">
      <c r="B158" s="55"/>
      <c r="C158" s="535" t="s">
        <v>879</v>
      </c>
      <c r="D158" s="314" t="s">
        <v>150</v>
      </c>
      <c r="E158" s="385">
        <v>0</v>
      </c>
      <c r="F158" s="315" t="s">
        <v>414</v>
      </c>
      <c r="H158" s="526">
        <f>'PRICE LIST'!H160</f>
        <v>0</v>
      </c>
      <c r="I158" s="526">
        <f>H158*E158</f>
        <v>0</v>
      </c>
      <c r="K158" s="316" cm="1">
        <f t="array" ref="K158">_xlfn.IFS(M$2=1,'PRICE LIST'!L160,M$2=2,'PRICE LIST'!O160,$M$2=3,'PRICE LIST'!AA160,$M$2=4,H158*$H$2)</f>
        <v>0</v>
      </c>
      <c r="M158" s="339">
        <f>K158*E158</f>
        <v>0</v>
      </c>
      <c r="N158" s="376">
        <f>M158/$M$250</f>
        <v>0</v>
      </c>
      <c r="P158" s="339" t="e">
        <f t="shared" si="82"/>
        <v>#DIV/0!</v>
      </c>
      <c r="Q158" s="339">
        <f>N158*'MONTAJE CERR PROPIOS STE EP'!$C$18</f>
        <v>0</v>
      </c>
      <c r="S158" s="339" t="e">
        <f t="shared" si="83"/>
        <v>#DIV/0!</v>
      </c>
      <c r="T158" s="339">
        <f t="shared" si="84"/>
        <v>0</v>
      </c>
      <c r="V158" s="315"/>
      <c r="W158" s="339" t="e">
        <f t="shared" si="80"/>
        <v>#DIV/0!</v>
      </c>
      <c r="X158" s="339">
        <f t="shared" si="81"/>
        <v>0</v>
      </c>
      <c r="Y158" s="315"/>
      <c r="Z158" s="315"/>
      <c r="AA158" s="315"/>
      <c r="AB158" s="315"/>
    </row>
    <row r="159" spans="2:28" ht="15" hidden="1" customHeight="1" thickBot="1" x14ac:dyDescent="0.4">
      <c r="B159" s="55"/>
      <c r="C159" s="535" t="s">
        <v>880</v>
      </c>
      <c r="D159" s="314" t="s">
        <v>151</v>
      </c>
      <c r="E159" s="385">
        <v>0</v>
      </c>
      <c r="F159" s="315" t="s">
        <v>414</v>
      </c>
      <c r="H159" s="526">
        <f>'PRICE LIST'!H161</f>
        <v>230</v>
      </c>
      <c r="I159" s="526">
        <f>H159*E159</f>
        <v>0</v>
      </c>
      <c r="K159" s="316" cm="1">
        <f t="array" ref="K159">_xlfn.IFS(M$2=1,'PRICE LIST'!L161,M$2=2,'PRICE LIST'!O161,$M$2=3,'PRICE LIST'!AA161,$M$2=4,H159*$H$2)</f>
        <v>353.90000000000003</v>
      </c>
      <c r="M159" s="339">
        <f>K159*E159</f>
        <v>0</v>
      </c>
      <c r="N159" s="376">
        <f>M159/$M$250</f>
        <v>0</v>
      </c>
      <c r="P159" s="339" t="e">
        <f t="shared" si="82"/>
        <v>#DIV/0!</v>
      </c>
      <c r="Q159" s="339">
        <f>N159*'MONTAJE CERR PROPIOS STE EP'!$C$18</f>
        <v>0</v>
      </c>
      <c r="S159" s="339" t="e">
        <f t="shared" si="83"/>
        <v>#DIV/0!</v>
      </c>
      <c r="T159" s="339">
        <f t="shared" si="84"/>
        <v>0</v>
      </c>
      <c r="V159" s="315"/>
      <c r="W159" s="339" t="e">
        <f t="shared" si="80"/>
        <v>#DIV/0!</v>
      </c>
      <c r="X159" s="339">
        <f t="shared" si="81"/>
        <v>0</v>
      </c>
      <c r="Y159" s="315"/>
      <c r="Z159" s="315"/>
      <c r="AA159" s="315"/>
      <c r="AB159" s="315"/>
    </row>
    <row r="160" spans="2:28" ht="15" hidden="1" customHeight="1" thickBot="1" x14ac:dyDescent="0.4">
      <c r="B160" s="55"/>
      <c r="C160" s="535" t="s">
        <v>881</v>
      </c>
      <c r="D160" s="314" t="s">
        <v>152</v>
      </c>
      <c r="E160" s="385">
        <v>0</v>
      </c>
      <c r="F160" s="315" t="s">
        <v>414</v>
      </c>
      <c r="H160" s="526">
        <f>'PRICE LIST'!H162</f>
        <v>647</v>
      </c>
      <c r="I160" s="526">
        <f>H160*E160</f>
        <v>0</v>
      </c>
      <c r="K160" s="316" cm="1">
        <f t="array" ref="K160">_xlfn.IFS(M$2=1,'PRICE LIST'!L162,M$2=2,'PRICE LIST'!O162,$M$2=3,'PRICE LIST'!AA162,$M$2=4,H160*$H$2)</f>
        <v>995.4</v>
      </c>
      <c r="M160" s="339">
        <f>K160*E160</f>
        <v>0</v>
      </c>
      <c r="N160" s="376">
        <f>M160/$M$250</f>
        <v>0</v>
      </c>
      <c r="P160" s="339" t="e">
        <f t="shared" si="82"/>
        <v>#DIV/0!</v>
      </c>
      <c r="Q160" s="339">
        <f>N160*'MONTAJE CERR PROPIOS STE EP'!$C$18</f>
        <v>0</v>
      </c>
      <c r="S160" s="339" t="e">
        <f t="shared" si="83"/>
        <v>#DIV/0!</v>
      </c>
      <c r="T160" s="339">
        <f t="shared" si="84"/>
        <v>0</v>
      </c>
      <c r="V160" s="315"/>
      <c r="W160" s="339" t="e">
        <f t="shared" si="80"/>
        <v>#DIV/0!</v>
      </c>
      <c r="X160" s="339">
        <f t="shared" si="81"/>
        <v>0</v>
      </c>
      <c r="Y160" s="315"/>
      <c r="Z160" s="315"/>
      <c r="AA160" s="315"/>
      <c r="AB160" s="315"/>
    </row>
    <row r="161" spans="2:28" ht="16.5" hidden="1" customHeight="1" x14ac:dyDescent="0.25">
      <c r="M161" s="339"/>
      <c r="P161" s="339"/>
      <c r="Q161" s="339"/>
      <c r="S161" s="339"/>
      <c r="T161" s="339"/>
      <c r="V161" s="315"/>
      <c r="W161" s="339"/>
      <c r="X161" s="339"/>
      <c r="Y161" s="315"/>
      <c r="Z161" s="315"/>
      <c r="AA161" s="315"/>
      <c r="AB161" s="315"/>
    </row>
    <row r="162" spans="2:28" ht="16.5" hidden="1" customHeight="1" thickBot="1" x14ac:dyDescent="0.3">
      <c r="B162" s="336" t="s">
        <v>430</v>
      </c>
      <c r="C162" s="336"/>
      <c r="D162" s="336" t="s">
        <v>153</v>
      </c>
      <c r="E162" s="336"/>
      <c r="F162" s="336"/>
      <c r="G162" s="336"/>
      <c r="M162" s="339"/>
      <c r="P162" s="339"/>
      <c r="Q162" s="339"/>
      <c r="S162" s="339"/>
      <c r="T162" s="339"/>
      <c r="V162" s="315"/>
      <c r="W162" s="339"/>
      <c r="X162" s="339"/>
      <c r="Y162" s="315"/>
      <c r="Z162" s="315"/>
      <c r="AA162" s="315"/>
      <c r="AB162" s="315"/>
    </row>
    <row r="163" spans="2:28" ht="16.5" hidden="1" customHeight="1" thickBot="1" x14ac:dyDescent="0.4">
      <c r="B163" s="55"/>
      <c r="C163" s="535" t="s">
        <v>882</v>
      </c>
      <c r="D163" s="314" t="s">
        <v>154</v>
      </c>
      <c r="E163" s="386">
        <f>METRAJE!D90</f>
        <v>0</v>
      </c>
      <c r="F163" s="315" t="s">
        <v>414</v>
      </c>
      <c r="H163" s="530">
        <f>'PRICE LIST'!H166</f>
        <v>2902</v>
      </c>
      <c r="I163" s="526">
        <f>H163*E163</f>
        <v>0</v>
      </c>
      <c r="K163" s="316" cm="1">
        <f t="array" ref="K163">_xlfn.IFS(M$2=1,'PRICE LIST'!L166,M$2=2,'PRICE LIST'!O166,$M$2=3,'PRICE LIST'!AA166,$M$2=4,H163*$H$2)</f>
        <v>4464.7000000000007</v>
      </c>
      <c r="M163" s="339">
        <f>K163*E163</f>
        <v>0</v>
      </c>
      <c r="N163" s="376">
        <f>M163/$M$250</f>
        <v>0</v>
      </c>
      <c r="P163" s="339" t="e">
        <f t="shared" ref="P163:P164" si="85">Q163/E163</f>
        <v>#DIV/0!</v>
      </c>
      <c r="Q163" s="339">
        <f>N163*'MONTAJE CERR PROPIOS STE EP'!$C$18</f>
        <v>0</v>
      </c>
      <c r="S163" s="339" t="e">
        <f t="shared" ref="S163:S164" si="86">P163*FMONTAJE</f>
        <v>#DIV/0!</v>
      </c>
      <c r="T163" s="339">
        <f t="shared" ref="T163:T164" si="87">Q163*FMONTAJE</f>
        <v>0</v>
      </c>
      <c r="V163" s="315"/>
      <c r="W163" s="339" t="e">
        <f t="shared" ref="W163:W164" si="88">K163+S163</f>
        <v>#DIV/0!</v>
      </c>
      <c r="X163" s="339">
        <f t="shared" ref="X163:X164" si="89">M163+T163</f>
        <v>0</v>
      </c>
      <c r="Y163" s="315"/>
      <c r="Z163" s="315"/>
      <c r="AA163" s="315"/>
      <c r="AB163" s="315"/>
    </row>
    <row r="164" spans="2:28" ht="16.5" hidden="1" customHeight="1" thickBot="1" x14ac:dyDescent="0.4">
      <c r="B164" s="55"/>
      <c r="C164" s="535" t="s">
        <v>883</v>
      </c>
      <c r="D164" s="314" t="s">
        <v>155</v>
      </c>
      <c r="E164" s="386">
        <f>METRAJE!E90</f>
        <v>0</v>
      </c>
      <c r="F164" s="315" t="s">
        <v>414</v>
      </c>
      <c r="H164" s="530">
        <f>'PRICE LIST'!H167</f>
        <v>3689</v>
      </c>
      <c r="I164" s="526">
        <f>H164*E164</f>
        <v>0</v>
      </c>
      <c r="K164" s="316" cm="1">
        <f t="array" ref="K164">_xlfn.IFS(M$2=1,'PRICE LIST'!L167,M$2=2,'PRICE LIST'!O167,$M$2=3,'PRICE LIST'!AA167,$M$2=4,H164*$H$2)</f>
        <v>5675.4000000000005</v>
      </c>
      <c r="M164" s="339">
        <f>K164*E164</f>
        <v>0</v>
      </c>
      <c r="N164" s="376">
        <f>M164/$M$250</f>
        <v>0</v>
      </c>
      <c r="P164" s="339" t="e">
        <f t="shared" si="85"/>
        <v>#DIV/0!</v>
      </c>
      <c r="Q164" s="339">
        <f>N164*'MONTAJE CERR PROPIOS STE EP'!$C$18</f>
        <v>0</v>
      </c>
      <c r="S164" s="339" t="e">
        <f t="shared" si="86"/>
        <v>#DIV/0!</v>
      </c>
      <c r="T164" s="339">
        <f t="shared" si="87"/>
        <v>0</v>
      </c>
      <c r="V164" s="315"/>
      <c r="W164" s="339" t="e">
        <f t="shared" si="88"/>
        <v>#DIV/0!</v>
      </c>
      <c r="X164" s="339">
        <f t="shared" si="89"/>
        <v>0</v>
      </c>
      <c r="Y164" s="315"/>
      <c r="Z164" s="315"/>
      <c r="AA164" s="315"/>
      <c r="AB164" s="315"/>
    </row>
    <row r="165" spans="2:28" ht="16.5" hidden="1" customHeight="1" thickBot="1" x14ac:dyDescent="0.4">
      <c r="B165" s="55"/>
      <c r="C165" s="535" t="s">
        <v>884</v>
      </c>
      <c r="D165" s="314" t="s">
        <v>156</v>
      </c>
      <c r="E165" s="386">
        <f>METRAJE!D91</f>
        <v>0</v>
      </c>
      <c r="F165" s="315" t="s">
        <v>414</v>
      </c>
      <c r="H165" s="530">
        <f>'PRICE LIST'!H168</f>
        <v>3772.6</v>
      </c>
      <c r="I165" s="526">
        <f>H165*E165</f>
        <v>0</v>
      </c>
      <c r="K165" s="316" cm="1">
        <f t="array" ref="K165">_xlfn.IFS(M$2=1,'PRICE LIST'!L168,M$2=2,'PRICE LIST'!O168,$M$2=3,'PRICE LIST'!AA168,$M$2=4,H165*$H$2)</f>
        <v>5804</v>
      </c>
      <c r="M165" s="339">
        <f>K165*E165</f>
        <v>0</v>
      </c>
      <c r="N165" s="376">
        <f>M165/$M$250</f>
        <v>0</v>
      </c>
      <c r="P165" s="339" t="e">
        <f t="shared" ref="P165:P166" si="90">Q165/E165</f>
        <v>#DIV/0!</v>
      </c>
      <c r="Q165" s="339">
        <f>N165*'MONTAJE CERR PROPIOS STE EP'!$C$18</f>
        <v>0</v>
      </c>
      <c r="S165" s="339" t="e">
        <f t="shared" ref="S165:S166" si="91">P165*FMONTAJE</f>
        <v>#DIV/0!</v>
      </c>
      <c r="T165" s="339">
        <f t="shared" ref="T165:T166" si="92">Q165*FMONTAJE</f>
        <v>0</v>
      </c>
      <c r="V165" s="315"/>
      <c r="W165" s="339" t="e">
        <f t="shared" ref="W165:W166" si="93">K165+S165</f>
        <v>#DIV/0!</v>
      </c>
      <c r="X165" s="339">
        <f t="shared" ref="X165:X166" si="94">M165+T165</f>
        <v>0</v>
      </c>
      <c r="Y165" s="315"/>
      <c r="Z165" s="315"/>
      <c r="AA165" s="315"/>
      <c r="AB165" s="315"/>
    </row>
    <row r="166" spans="2:28" ht="16.5" hidden="1" customHeight="1" thickBot="1" x14ac:dyDescent="0.4">
      <c r="B166" s="55"/>
      <c r="C166" s="535" t="s">
        <v>885</v>
      </c>
      <c r="D166" s="314" t="s">
        <v>157</v>
      </c>
      <c r="E166" s="386">
        <f>METRAJE!E91</f>
        <v>0</v>
      </c>
      <c r="F166" s="315" t="s">
        <v>414</v>
      </c>
      <c r="H166" s="530">
        <f>'PRICE LIST'!H169</f>
        <v>4056</v>
      </c>
      <c r="I166" s="526">
        <f>H166*E166</f>
        <v>0</v>
      </c>
      <c r="K166" s="316" cm="1">
        <f t="array" ref="K166">_xlfn.IFS(M$2=1,'PRICE LIST'!L169,M$2=2,'PRICE LIST'!O169,$M$2=3,'PRICE LIST'!AA169,$M$2=4,H166*$H$2)</f>
        <v>6240</v>
      </c>
      <c r="M166" s="339">
        <f>K166*E166</f>
        <v>0</v>
      </c>
      <c r="N166" s="376">
        <f>M166/$M$250</f>
        <v>0</v>
      </c>
      <c r="P166" s="339" t="e">
        <f t="shared" si="90"/>
        <v>#DIV/0!</v>
      </c>
      <c r="Q166" s="339">
        <f>N166*'MONTAJE CERR PROPIOS STE EP'!$C$18</f>
        <v>0</v>
      </c>
      <c r="S166" s="339" t="e">
        <f t="shared" si="91"/>
        <v>#DIV/0!</v>
      </c>
      <c r="T166" s="339">
        <f t="shared" si="92"/>
        <v>0</v>
      </c>
      <c r="V166" s="315"/>
      <c r="W166" s="339" t="e">
        <f t="shared" si="93"/>
        <v>#DIV/0!</v>
      </c>
      <c r="X166" s="339">
        <f t="shared" si="94"/>
        <v>0</v>
      </c>
    </row>
    <row r="167" spans="2:28" ht="16.5" hidden="1" customHeight="1" x14ac:dyDescent="0.35">
      <c r="B167" s="55"/>
      <c r="C167" s="535"/>
      <c r="M167" s="339"/>
      <c r="N167" s="339"/>
      <c r="O167" s="339"/>
      <c r="P167" s="339"/>
      <c r="Q167" s="339"/>
      <c r="R167" s="339"/>
      <c r="S167" s="339"/>
      <c r="T167" s="339"/>
      <c r="V167" s="315"/>
      <c r="W167" s="339"/>
      <c r="X167" s="339"/>
    </row>
    <row r="168" spans="2:28" ht="16.5" hidden="1" customHeight="1" thickBot="1" x14ac:dyDescent="0.35">
      <c r="B168" s="55"/>
      <c r="C168" s="535"/>
      <c r="D168" s="341" t="s">
        <v>158</v>
      </c>
      <c r="E168" s="341"/>
      <c r="F168" s="342"/>
      <c r="G168" s="342"/>
      <c r="M168" s="339"/>
      <c r="N168" s="339"/>
      <c r="O168" s="339"/>
      <c r="P168" s="339"/>
      <c r="Q168" s="339"/>
      <c r="R168" s="339"/>
      <c r="S168" s="339"/>
      <c r="T168" s="339"/>
      <c r="V168" s="315"/>
      <c r="W168" s="339"/>
      <c r="X168" s="339"/>
      <c r="Y168" s="315"/>
      <c r="Z168" s="315"/>
      <c r="AA168" s="315"/>
      <c r="AB168" s="315"/>
    </row>
    <row r="169" spans="2:28" ht="15" hidden="1" customHeight="1" thickBot="1" x14ac:dyDescent="0.4">
      <c r="B169" s="55"/>
      <c r="C169" s="535" t="s">
        <v>886</v>
      </c>
      <c r="D169" s="55" t="s">
        <v>159</v>
      </c>
      <c r="E169" s="385">
        <v>0</v>
      </c>
      <c r="F169" s="315" t="s">
        <v>414</v>
      </c>
      <c r="H169" s="530">
        <f>'PRICE LIST'!H172</f>
        <v>0</v>
      </c>
      <c r="I169" s="526">
        <f>H169*E169</f>
        <v>0</v>
      </c>
      <c r="K169" s="316" cm="1">
        <f t="array" ref="K169">_xlfn.IFS(M$2=1,'PRICE LIST'!L172,M$2=2,'PRICE LIST'!O172,$M$2=3,'PRICE LIST'!AA172,$M$2=4,H169*$H$2)</f>
        <v>0</v>
      </c>
      <c r="M169" s="339">
        <f>K169*E169</f>
        <v>0</v>
      </c>
      <c r="N169" s="376">
        <f>M169/$M$250</f>
        <v>0</v>
      </c>
      <c r="P169" s="339" t="e">
        <f t="shared" ref="P169:P171" si="95">Q169/E169</f>
        <v>#DIV/0!</v>
      </c>
      <c r="Q169" s="339">
        <f>N169*'MONTAJE CERR PROPIOS STE EP'!$C$18</f>
        <v>0</v>
      </c>
      <c r="S169" s="339" t="e">
        <f t="shared" ref="S169:T171" si="96">P169*FMONTAJE</f>
        <v>#DIV/0!</v>
      </c>
      <c r="T169" s="339">
        <f t="shared" si="96"/>
        <v>0</v>
      </c>
      <c r="V169" s="315"/>
      <c r="W169" s="339" t="e">
        <f t="shared" ref="W169:W171" si="97">K169+S169</f>
        <v>#DIV/0!</v>
      </c>
      <c r="X169" s="339">
        <f t="shared" ref="X169:X171" si="98">M169+T169</f>
        <v>0</v>
      </c>
      <c r="Y169" s="315"/>
      <c r="Z169" s="315"/>
      <c r="AA169" s="315"/>
      <c r="AB169" s="315"/>
    </row>
    <row r="170" spans="2:28" ht="15" hidden="1" customHeight="1" thickBot="1" x14ac:dyDescent="0.4">
      <c r="B170" s="55"/>
      <c r="C170" s="535" t="s">
        <v>887</v>
      </c>
      <c r="D170" s="55" t="s">
        <v>149</v>
      </c>
      <c r="E170" s="385">
        <v>0</v>
      </c>
      <c r="F170" s="315" t="s">
        <v>414</v>
      </c>
      <c r="H170" s="530">
        <f>'PRICE LIST'!H173</f>
        <v>0</v>
      </c>
      <c r="I170" s="526">
        <f>H170*E170</f>
        <v>0</v>
      </c>
      <c r="K170" s="316" cm="1">
        <f t="array" ref="K170">_xlfn.IFS(M$2=1,'PRICE LIST'!L173,M$2=2,'PRICE LIST'!O173,$M$2=3,'PRICE LIST'!AA173,$M$2=4,H170*$H$2)</f>
        <v>0</v>
      </c>
      <c r="M170" s="339">
        <f>K170*E170</f>
        <v>0</v>
      </c>
      <c r="N170" s="376">
        <f>M170/$M$250</f>
        <v>0</v>
      </c>
      <c r="P170" s="339" t="e">
        <f t="shared" si="95"/>
        <v>#DIV/0!</v>
      </c>
      <c r="Q170" s="339">
        <f>N170*'MONTAJE CERR PROPIOS STE EP'!$C$18</f>
        <v>0</v>
      </c>
      <c r="S170" s="339" t="e">
        <f t="shared" si="96"/>
        <v>#DIV/0!</v>
      </c>
      <c r="T170" s="339">
        <f t="shared" si="96"/>
        <v>0</v>
      </c>
      <c r="V170" s="315"/>
      <c r="W170" s="339" t="e">
        <f t="shared" si="97"/>
        <v>#DIV/0!</v>
      </c>
      <c r="X170" s="339">
        <f t="shared" si="98"/>
        <v>0</v>
      </c>
      <c r="Y170" s="315"/>
      <c r="Z170" s="315"/>
      <c r="AA170" s="315"/>
      <c r="AB170" s="315"/>
    </row>
    <row r="171" spans="2:28" ht="15" hidden="1" thickBot="1" x14ac:dyDescent="0.4">
      <c r="B171" s="55"/>
      <c r="C171" s="535" t="s">
        <v>888</v>
      </c>
      <c r="D171" s="55" t="s">
        <v>160</v>
      </c>
      <c r="E171" s="385">
        <v>0</v>
      </c>
      <c r="F171" s="315" t="s">
        <v>414</v>
      </c>
      <c r="H171" s="530">
        <f>'PRICE LIST'!H174</f>
        <v>0</v>
      </c>
      <c r="I171" s="526">
        <f>H171*E171</f>
        <v>0</v>
      </c>
      <c r="K171" s="316" cm="1">
        <f t="array" ref="K171">_xlfn.IFS(M$2=1,'PRICE LIST'!L174,M$2=2,'PRICE LIST'!O174,$M$2=3,'PRICE LIST'!AA174,$M$2=4,H171*$H$2)</f>
        <v>0</v>
      </c>
      <c r="M171" s="339">
        <f>K171*E171</f>
        <v>0</v>
      </c>
      <c r="N171" s="376">
        <f>M171/$M$250</f>
        <v>0</v>
      </c>
      <c r="P171" s="339" t="e">
        <f t="shared" si="95"/>
        <v>#DIV/0!</v>
      </c>
      <c r="Q171" s="339">
        <f>N171*'MONTAJE CERR PROPIOS STE EP'!$C$18</f>
        <v>0</v>
      </c>
      <c r="S171" s="339" t="e">
        <f t="shared" si="96"/>
        <v>#DIV/0!</v>
      </c>
      <c r="T171" s="339">
        <f t="shared" si="96"/>
        <v>0</v>
      </c>
      <c r="V171" s="315"/>
      <c r="W171" s="339" t="e">
        <f t="shared" si="97"/>
        <v>#DIV/0!</v>
      </c>
      <c r="X171" s="339">
        <f t="shared" si="98"/>
        <v>0</v>
      </c>
      <c r="Y171" s="315"/>
      <c r="Z171" s="315"/>
      <c r="AA171" s="315"/>
      <c r="AB171" s="315"/>
    </row>
    <row r="172" spans="2:28" ht="14.25" hidden="1" customHeight="1" x14ac:dyDescent="0.25">
      <c r="E172" s="387"/>
      <c r="M172" s="339"/>
      <c r="N172" s="376"/>
      <c r="P172" s="339"/>
      <c r="Q172" s="339"/>
      <c r="S172" s="339"/>
      <c r="T172" s="339"/>
      <c r="V172" s="315"/>
      <c r="W172" s="339"/>
      <c r="X172" s="339"/>
      <c r="Y172" s="315"/>
      <c r="Z172" s="315"/>
      <c r="AA172" s="315"/>
      <c r="AB172" s="315"/>
    </row>
    <row r="173" spans="2:28" ht="13" hidden="1" x14ac:dyDescent="0.3">
      <c r="B173" s="352"/>
      <c r="C173" s="352"/>
      <c r="D173" s="313" t="s">
        <v>161</v>
      </c>
      <c r="E173" s="313"/>
      <c r="F173" s="332"/>
      <c r="G173" s="332"/>
      <c r="H173" s="527"/>
      <c r="I173" s="527"/>
      <c r="J173" s="334"/>
      <c r="K173" s="333"/>
      <c r="L173" s="334"/>
      <c r="M173" s="335"/>
      <c r="N173" s="333"/>
      <c r="O173" s="334"/>
      <c r="P173" s="335"/>
      <c r="Q173" s="335"/>
      <c r="R173" s="334"/>
      <c r="S173" s="335"/>
      <c r="T173" s="335"/>
      <c r="V173" s="315"/>
      <c r="W173" s="335"/>
      <c r="X173" s="335"/>
      <c r="Y173" s="315"/>
      <c r="Z173" s="315"/>
      <c r="AA173" s="315"/>
      <c r="AB173" s="315"/>
    </row>
    <row r="174" spans="2:28" ht="15" hidden="1" thickBot="1" x14ac:dyDescent="0.4">
      <c r="B174" s="55"/>
      <c r="C174" s="535" t="s">
        <v>889</v>
      </c>
      <c r="D174" s="314" t="s">
        <v>162</v>
      </c>
      <c r="E174" s="386">
        <f>METRAJE!D99</f>
        <v>0</v>
      </c>
      <c r="F174" s="315" t="s">
        <v>414</v>
      </c>
      <c r="H174" s="526">
        <f>'PRICE LIST'!H178</f>
        <v>47</v>
      </c>
      <c r="I174" s="526">
        <f t="shared" ref="I174:I188" si="99">H174*E174</f>
        <v>0</v>
      </c>
      <c r="K174" s="316" cm="1">
        <f t="array" ref="K174">_xlfn.IFS(M$2=1,'PRICE LIST'!L178,M$2=2,'PRICE LIST'!O178,$M$2=3,'PRICE LIST'!AA178,$M$2=4,H174*$H$2)</f>
        <v>94</v>
      </c>
      <c r="M174" s="339">
        <f t="shared" ref="M174:M188" si="100">K174*E174</f>
        <v>0</v>
      </c>
      <c r="N174" s="376">
        <f t="shared" ref="N174:N188" si="101">M174/$M$250</f>
        <v>0</v>
      </c>
      <c r="P174" s="339" t="e">
        <f t="shared" ref="P174:P188" si="102">Q174/E174</f>
        <v>#DIV/0!</v>
      </c>
      <c r="Q174" s="339">
        <f>N174*'MONTAJE CERR PROPIOS STE EP'!$C$18</f>
        <v>0</v>
      </c>
      <c r="S174" s="339" t="e">
        <f t="shared" ref="S174:S188" si="103">P174*FMONTAJE</f>
        <v>#DIV/0!</v>
      </c>
      <c r="T174" s="339">
        <f t="shared" ref="T174:T188" si="104">Q174*FMONTAJE</f>
        <v>0</v>
      </c>
      <c r="V174" s="315"/>
      <c r="W174" s="339" t="e">
        <f t="shared" ref="W174:W188" si="105">K174+S174</f>
        <v>#DIV/0!</v>
      </c>
      <c r="X174" s="339">
        <f t="shared" ref="X174:X188" si="106">M174+T174</f>
        <v>0</v>
      </c>
      <c r="Y174" s="315"/>
      <c r="Z174" s="315"/>
      <c r="AA174" s="315"/>
      <c r="AB174" s="315"/>
    </row>
    <row r="175" spans="2:28" ht="15" hidden="1" thickBot="1" x14ac:dyDescent="0.4">
      <c r="B175" s="55"/>
      <c r="C175" s="535" t="s">
        <v>890</v>
      </c>
      <c r="D175" s="314" t="s">
        <v>163</v>
      </c>
      <c r="E175" s="385">
        <v>0</v>
      </c>
      <c r="F175" s="315" t="s">
        <v>414</v>
      </c>
      <c r="H175" s="526">
        <f>'PRICE LIST'!H179</f>
        <v>72</v>
      </c>
      <c r="I175" s="526">
        <f t="shared" si="99"/>
        <v>0</v>
      </c>
      <c r="K175" s="316" cm="1">
        <f t="array" ref="K175">_xlfn.IFS(M$2=1,'PRICE LIST'!L179,M$2=2,'PRICE LIST'!O179,$M$2=3,'PRICE LIST'!AA179,$M$2=4,H175*$H$2)</f>
        <v>144</v>
      </c>
      <c r="M175" s="339">
        <f t="shared" si="100"/>
        <v>0</v>
      </c>
      <c r="N175" s="376">
        <f t="shared" si="101"/>
        <v>0</v>
      </c>
      <c r="P175" s="339" t="e">
        <f t="shared" si="102"/>
        <v>#DIV/0!</v>
      </c>
      <c r="Q175" s="339">
        <f>N175*'MONTAJE CERR PROPIOS STE EP'!$C$18</f>
        <v>0</v>
      </c>
      <c r="S175" s="339" t="e">
        <f t="shared" si="103"/>
        <v>#DIV/0!</v>
      </c>
      <c r="T175" s="339">
        <f t="shared" si="104"/>
        <v>0</v>
      </c>
      <c r="V175" s="315"/>
      <c r="W175" s="339" t="e">
        <f t="shared" si="105"/>
        <v>#DIV/0!</v>
      </c>
      <c r="X175" s="339">
        <f t="shared" si="106"/>
        <v>0</v>
      </c>
      <c r="Y175" s="315"/>
      <c r="Z175" s="315"/>
      <c r="AA175" s="315"/>
      <c r="AB175" s="315"/>
    </row>
    <row r="176" spans="2:28" ht="14.25" hidden="1" customHeight="1" thickBot="1" x14ac:dyDescent="0.4">
      <c r="B176" s="55"/>
      <c r="C176" s="535" t="s">
        <v>891</v>
      </c>
      <c r="D176" s="314" t="s">
        <v>164</v>
      </c>
      <c r="E176" s="386">
        <f>METRAJE!D96</f>
        <v>0</v>
      </c>
      <c r="F176" s="315" t="s">
        <v>414</v>
      </c>
      <c r="H176" s="526">
        <f>'PRICE LIST'!H180</f>
        <v>109</v>
      </c>
      <c r="I176" s="526">
        <f t="shared" si="99"/>
        <v>0</v>
      </c>
      <c r="K176" s="316" cm="1">
        <f t="array" ref="K176">_xlfn.IFS(M$2=1,'PRICE LIST'!L180,M$2=2,'PRICE LIST'!O180,$M$2=3,'PRICE LIST'!AA180,$M$2=4,H176*$H$2)</f>
        <v>218</v>
      </c>
      <c r="M176" s="339">
        <f t="shared" si="100"/>
        <v>0</v>
      </c>
      <c r="N176" s="376">
        <f t="shared" si="101"/>
        <v>0</v>
      </c>
      <c r="P176" s="339" t="e">
        <f t="shared" si="102"/>
        <v>#DIV/0!</v>
      </c>
      <c r="Q176" s="339">
        <f>N176*'MONTAJE CERR PROPIOS STE EP'!$C$18</f>
        <v>0</v>
      </c>
      <c r="S176" s="339" t="e">
        <f t="shared" si="103"/>
        <v>#DIV/0!</v>
      </c>
      <c r="T176" s="339">
        <f t="shared" si="104"/>
        <v>0</v>
      </c>
      <c r="V176" s="315"/>
      <c r="W176" s="339" t="e">
        <f t="shared" si="105"/>
        <v>#DIV/0!</v>
      </c>
      <c r="X176" s="339">
        <f t="shared" si="106"/>
        <v>0</v>
      </c>
      <c r="Y176" s="315"/>
      <c r="Z176" s="315"/>
      <c r="AA176" s="315"/>
      <c r="AB176" s="315"/>
    </row>
    <row r="177" spans="2:28" ht="15" hidden="1" thickBot="1" x14ac:dyDescent="0.4">
      <c r="B177" s="55"/>
      <c r="C177" s="535" t="s">
        <v>892</v>
      </c>
      <c r="D177" s="314" t="s">
        <v>165</v>
      </c>
      <c r="E177" s="386">
        <f>METRAJE!I96</f>
        <v>0</v>
      </c>
      <c r="F177" s="315" t="s">
        <v>414</v>
      </c>
      <c r="H177" s="526">
        <f>'PRICE LIST'!H181</f>
        <v>176.5</v>
      </c>
      <c r="I177" s="526">
        <f t="shared" si="99"/>
        <v>0</v>
      </c>
      <c r="K177" s="316" cm="1">
        <f t="array" ref="K177">_xlfn.IFS(M$2=1,'PRICE LIST'!L181,M$2=2,'PRICE LIST'!O181,$M$2=3,'PRICE LIST'!AA181,$M$2=4,H177*$H$2)</f>
        <v>271.60000000000002</v>
      </c>
      <c r="M177" s="339">
        <f t="shared" si="100"/>
        <v>0</v>
      </c>
      <c r="N177" s="376">
        <f t="shared" si="101"/>
        <v>0</v>
      </c>
      <c r="P177" s="339" t="e">
        <f t="shared" si="102"/>
        <v>#DIV/0!</v>
      </c>
      <c r="Q177" s="339">
        <f>N177*'MONTAJE CERR PROPIOS STE EP'!$C$18</f>
        <v>0</v>
      </c>
      <c r="S177" s="339" t="e">
        <f t="shared" si="103"/>
        <v>#DIV/0!</v>
      </c>
      <c r="T177" s="339">
        <f t="shared" si="104"/>
        <v>0</v>
      </c>
      <c r="V177" s="315"/>
      <c r="W177" s="339" t="e">
        <f t="shared" si="105"/>
        <v>#DIV/0!</v>
      </c>
      <c r="X177" s="339">
        <f t="shared" si="106"/>
        <v>0</v>
      </c>
      <c r="Y177" s="315"/>
      <c r="Z177" s="315"/>
      <c r="AA177" s="315"/>
      <c r="AB177" s="315"/>
    </row>
    <row r="178" spans="2:28" ht="16.5" hidden="1" customHeight="1" thickBot="1" x14ac:dyDescent="0.4">
      <c r="B178" s="55"/>
      <c r="C178" s="535" t="s">
        <v>893</v>
      </c>
      <c r="D178" s="314" t="s">
        <v>166</v>
      </c>
      <c r="E178" s="386">
        <f>METRAJE!I97</f>
        <v>0</v>
      </c>
      <c r="F178" s="315" t="s">
        <v>414</v>
      </c>
      <c r="H178" s="530">
        <f>'PRICE LIST'!H182</f>
        <v>280</v>
      </c>
      <c r="I178" s="526">
        <f t="shared" ref="I178:I179" si="107">H178*E178</f>
        <v>0</v>
      </c>
      <c r="J178" s="348"/>
      <c r="K178" s="316" cm="1">
        <f t="array" ref="K178">_xlfn.IFS(M$2=1,'PRICE LIST'!L182,M$2=2,'PRICE LIST'!O182,$M$2=3,'PRICE LIST'!AA182,$M$2=4,H178*$H$2)</f>
        <v>430.8</v>
      </c>
      <c r="M178" s="339">
        <f t="shared" ref="M178:M179" si="108">K178*E178</f>
        <v>0</v>
      </c>
      <c r="N178" s="376">
        <f t="shared" si="101"/>
        <v>0</v>
      </c>
      <c r="P178" s="339" t="e">
        <f t="shared" ref="P178:P179" si="109">Q178/E178</f>
        <v>#DIV/0!</v>
      </c>
      <c r="Q178" s="339">
        <f>N178*'MONTAJE CERR PROPIOS STE EP'!$C$18</f>
        <v>0</v>
      </c>
      <c r="S178" s="339" t="e">
        <f t="shared" ref="S178:S179" si="110">P178*FMONTAJE</f>
        <v>#DIV/0!</v>
      </c>
      <c r="T178" s="339">
        <f t="shared" ref="T178:T179" si="111">Q178*FMONTAJE</f>
        <v>0</v>
      </c>
      <c r="V178" s="315"/>
      <c r="W178" s="339" t="e">
        <f t="shared" si="105"/>
        <v>#DIV/0!</v>
      </c>
      <c r="X178" s="339">
        <f t="shared" si="106"/>
        <v>0</v>
      </c>
      <c r="Y178" s="315"/>
      <c r="Z178" s="315"/>
      <c r="AA178" s="315"/>
      <c r="AB178" s="315"/>
    </row>
    <row r="179" spans="2:28" ht="15.75" hidden="1" customHeight="1" thickBot="1" x14ac:dyDescent="0.4">
      <c r="B179" s="55"/>
      <c r="C179" s="535" t="s">
        <v>894</v>
      </c>
      <c r="D179" s="314" t="s">
        <v>167</v>
      </c>
      <c r="E179" s="386">
        <f>METRAJE!I98</f>
        <v>0</v>
      </c>
      <c r="F179" s="315" t="s">
        <v>414</v>
      </c>
      <c r="H179" s="530">
        <f>'PRICE LIST'!H183</f>
        <v>300</v>
      </c>
      <c r="I179" s="526">
        <f t="shared" si="107"/>
        <v>0</v>
      </c>
      <c r="J179" s="348"/>
      <c r="K179" s="316" cm="1">
        <f t="array" ref="K179">_xlfn.IFS(M$2=1,'PRICE LIST'!L183,M$2=2,'PRICE LIST'!O183,$M$2=3,'PRICE LIST'!AA183,$M$2=4,H179*$H$2)</f>
        <v>461.6</v>
      </c>
      <c r="M179" s="339">
        <f t="shared" si="108"/>
        <v>0</v>
      </c>
      <c r="N179" s="376">
        <f t="shared" si="101"/>
        <v>0</v>
      </c>
      <c r="P179" s="339" t="e">
        <f t="shared" si="109"/>
        <v>#DIV/0!</v>
      </c>
      <c r="Q179" s="339">
        <f>N179*'MONTAJE CERR PROPIOS STE EP'!$C$18</f>
        <v>0</v>
      </c>
      <c r="S179" s="339" t="e">
        <f t="shared" si="110"/>
        <v>#DIV/0!</v>
      </c>
      <c r="T179" s="339">
        <f t="shared" si="111"/>
        <v>0</v>
      </c>
      <c r="V179" s="315"/>
      <c r="W179" s="339" t="e">
        <f t="shared" si="105"/>
        <v>#DIV/0!</v>
      </c>
      <c r="X179" s="339">
        <f t="shared" si="106"/>
        <v>0</v>
      </c>
      <c r="Y179" s="315"/>
      <c r="Z179" s="315"/>
      <c r="AA179" s="315"/>
      <c r="AB179" s="315"/>
    </row>
    <row r="180" spans="2:28" ht="15.75" hidden="1" customHeight="1" thickBot="1" x14ac:dyDescent="0.4">
      <c r="B180" s="55"/>
      <c r="C180" s="535" t="s">
        <v>895</v>
      </c>
      <c r="D180" s="314" t="s">
        <v>368</v>
      </c>
      <c r="E180" s="386">
        <f>IF(METRAJE!I101&lt;1,0,1)</f>
        <v>0</v>
      </c>
      <c r="F180" s="315" t="s">
        <v>414</v>
      </c>
      <c r="G180" s="410"/>
      <c r="H180" s="526">
        <f>IF(METRAJE!I101&lt;1,0,115.43*METRAJE!I101 + 517.64)</f>
        <v>0</v>
      </c>
      <c r="I180" s="526">
        <f>H180*E180</f>
        <v>0</v>
      </c>
      <c r="K180" s="316" cm="1">
        <f t="array" ref="K180">_xlfn.IFS(M$2=1,'PRICE LIST'!L184,M$2=2,'PRICE LIST'!O184,$M$2=3,'PRICE LIST'!AA184,$M$2=4,H180*$H$2)</f>
        <v>0</v>
      </c>
      <c r="M180" s="339">
        <f t="shared" si="100"/>
        <v>0</v>
      </c>
      <c r="N180" s="376">
        <f t="shared" si="101"/>
        <v>0</v>
      </c>
      <c r="P180" s="339" t="e">
        <f t="shared" si="102"/>
        <v>#DIV/0!</v>
      </c>
      <c r="Q180" s="339">
        <f>N180*'MONTAJE CERR PROPIOS STE EP'!$C$18</f>
        <v>0</v>
      </c>
      <c r="S180" s="339" t="e">
        <f t="shared" si="103"/>
        <v>#DIV/0!</v>
      </c>
      <c r="T180" s="339">
        <f t="shared" si="104"/>
        <v>0</v>
      </c>
      <c r="V180" s="315"/>
      <c r="W180" s="339" t="e">
        <f t="shared" si="105"/>
        <v>#DIV/0!</v>
      </c>
      <c r="X180" s="339">
        <f t="shared" si="106"/>
        <v>0</v>
      </c>
      <c r="Y180" s="315"/>
      <c r="Z180" s="315"/>
      <c r="AA180" s="315"/>
      <c r="AB180" s="315"/>
    </row>
    <row r="181" spans="2:28" ht="12" hidden="1" customHeight="1" thickBot="1" x14ac:dyDescent="0.4">
      <c r="B181" s="55"/>
      <c r="C181" s="535" t="s">
        <v>895</v>
      </c>
      <c r="D181" s="314" t="s">
        <v>369</v>
      </c>
      <c r="E181" s="386">
        <f>IF(METRAJE!I102&lt;1,0,1)</f>
        <v>0</v>
      </c>
      <c r="F181" s="315" t="s">
        <v>414</v>
      </c>
      <c r="H181" s="526">
        <f>IF(METRAJE!I102&lt;1,0,115.43*METRAJE!I102 + 517.64)</f>
        <v>0</v>
      </c>
      <c r="I181" s="526">
        <f t="shared" si="99"/>
        <v>0</v>
      </c>
      <c r="K181" s="316" cm="1">
        <f t="array" ref="K181">_xlfn.IFS(M$2=1,'PRICE LIST'!L185,M$2=2,'PRICE LIST'!O185,$M$2=3,'PRICE LIST'!AA185,$M$2=4,H181*$H$2)</f>
        <v>0</v>
      </c>
      <c r="M181" s="339">
        <f t="shared" si="100"/>
        <v>0</v>
      </c>
      <c r="N181" s="376">
        <f t="shared" si="101"/>
        <v>0</v>
      </c>
      <c r="P181" s="339" t="e">
        <f t="shared" si="102"/>
        <v>#DIV/0!</v>
      </c>
      <c r="Q181" s="339">
        <f>N181*'MONTAJE CERR PROPIOS STE EP'!$C$18</f>
        <v>0</v>
      </c>
      <c r="S181" s="339" t="e">
        <f t="shared" si="103"/>
        <v>#DIV/0!</v>
      </c>
      <c r="T181" s="339">
        <f t="shared" si="104"/>
        <v>0</v>
      </c>
      <c r="V181" s="315"/>
      <c r="W181" s="339" t="e">
        <f t="shared" si="105"/>
        <v>#DIV/0!</v>
      </c>
      <c r="X181" s="339">
        <f t="shared" si="106"/>
        <v>0</v>
      </c>
      <c r="Y181" s="315"/>
      <c r="Z181" s="315"/>
      <c r="AA181" s="315"/>
      <c r="AB181" s="315"/>
    </row>
    <row r="182" spans="2:28" ht="15.75" hidden="1" customHeight="1" thickBot="1" x14ac:dyDescent="0.4">
      <c r="B182" s="55"/>
      <c r="C182" s="535" t="s">
        <v>895</v>
      </c>
      <c r="D182" s="314" t="s">
        <v>370</v>
      </c>
      <c r="E182" s="386">
        <f>IF(METRAJE!I103&lt;1,0,1)</f>
        <v>0</v>
      </c>
      <c r="F182" s="315" t="s">
        <v>414</v>
      </c>
      <c r="H182" s="526">
        <f>IF(METRAJE!I103=0,0,115.43*METRAJE!I103 + 517.64)</f>
        <v>0</v>
      </c>
      <c r="I182" s="526">
        <f t="shared" si="99"/>
        <v>0</v>
      </c>
      <c r="K182" s="316" cm="1">
        <f t="array" ref="K182">_xlfn.IFS(M$2=1,'PRICE LIST'!L186,M$2=2,'PRICE LIST'!O186,$M$2=3,'PRICE LIST'!AA186,$M$2=4,H182*$H$2)</f>
        <v>0</v>
      </c>
      <c r="M182" s="339">
        <f t="shared" si="100"/>
        <v>0</v>
      </c>
      <c r="N182" s="376">
        <f t="shared" si="101"/>
        <v>0</v>
      </c>
      <c r="P182" s="339" t="e">
        <f t="shared" si="102"/>
        <v>#DIV/0!</v>
      </c>
      <c r="Q182" s="339">
        <f>N182*'MONTAJE CERR PROPIOS STE EP'!$C$18</f>
        <v>0</v>
      </c>
      <c r="S182" s="339" t="e">
        <f t="shared" si="103"/>
        <v>#DIV/0!</v>
      </c>
      <c r="T182" s="339">
        <f t="shared" si="104"/>
        <v>0</v>
      </c>
      <c r="V182" s="315"/>
      <c r="W182" s="339" t="e">
        <f t="shared" si="105"/>
        <v>#DIV/0!</v>
      </c>
      <c r="X182" s="339">
        <f t="shared" si="106"/>
        <v>0</v>
      </c>
      <c r="Y182" s="315"/>
      <c r="Z182" s="315"/>
      <c r="AA182" s="315"/>
      <c r="AB182" s="315"/>
    </row>
    <row r="183" spans="2:28" ht="15.75" hidden="1" customHeight="1" thickBot="1" x14ac:dyDescent="0.4">
      <c r="B183" s="55"/>
      <c r="C183" s="535" t="s">
        <v>895</v>
      </c>
      <c r="D183" s="314" t="s">
        <v>371</v>
      </c>
      <c r="E183" s="386">
        <f>IF(METRAJE!I104&lt;1,0,1)</f>
        <v>0</v>
      </c>
      <c r="F183" s="315" t="s">
        <v>414</v>
      </c>
      <c r="H183" s="526">
        <f>IF(METRAJE!I104&lt;1,0,115.43*METRAJE!I104 + 517.64)</f>
        <v>0</v>
      </c>
      <c r="I183" s="526">
        <f>H183*E183</f>
        <v>0</v>
      </c>
      <c r="K183" s="316" cm="1">
        <f t="array" ref="K183">_xlfn.IFS(M$2=1,'PRICE LIST'!L187,M$2=2,'PRICE LIST'!O187,$M$2=3,'PRICE LIST'!AA187,$M$2=4,H183*$H$2)</f>
        <v>0</v>
      </c>
      <c r="M183" s="339">
        <f t="shared" si="100"/>
        <v>0</v>
      </c>
      <c r="N183" s="376">
        <f t="shared" si="101"/>
        <v>0</v>
      </c>
      <c r="P183" s="339" t="e">
        <f t="shared" si="102"/>
        <v>#DIV/0!</v>
      </c>
      <c r="Q183" s="339">
        <f>N183*'MONTAJE CERR PROPIOS STE EP'!$C$18</f>
        <v>0</v>
      </c>
      <c r="S183" s="339" t="e">
        <f t="shared" si="103"/>
        <v>#DIV/0!</v>
      </c>
      <c r="T183" s="339">
        <f t="shared" si="104"/>
        <v>0</v>
      </c>
      <c r="V183" s="315"/>
      <c r="W183" s="339" t="e">
        <f t="shared" si="105"/>
        <v>#DIV/0!</v>
      </c>
      <c r="X183" s="339">
        <f t="shared" si="106"/>
        <v>0</v>
      </c>
      <c r="Y183" s="315"/>
      <c r="Z183" s="315"/>
      <c r="AA183" s="315"/>
      <c r="AB183" s="315"/>
    </row>
    <row r="184" spans="2:28" ht="14.25" hidden="1" customHeight="1" thickBot="1" x14ac:dyDescent="0.4">
      <c r="B184" s="55"/>
      <c r="C184" s="535" t="s">
        <v>895</v>
      </c>
      <c r="D184" s="314" t="s">
        <v>372</v>
      </c>
      <c r="E184" s="386">
        <f>IF(METRAJE!I105&lt;1,0,1)</f>
        <v>0</v>
      </c>
      <c r="F184" s="315" t="s">
        <v>414</v>
      </c>
      <c r="H184" s="526">
        <f>IF(METRAJE!I105&lt;1,0,115.43*METRAJE!I105 + 517.64)</f>
        <v>0</v>
      </c>
      <c r="I184" s="526">
        <f t="shared" si="99"/>
        <v>0</v>
      </c>
      <c r="K184" s="316" cm="1">
        <f t="array" ref="K184">_xlfn.IFS(M$2=1,'PRICE LIST'!L188,M$2=2,'PRICE LIST'!O188,$M$2=3,'PRICE LIST'!AA188,$M$2=4,H184*$H$2)</f>
        <v>0</v>
      </c>
      <c r="M184" s="339">
        <f t="shared" si="100"/>
        <v>0</v>
      </c>
      <c r="N184" s="376">
        <f t="shared" si="101"/>
        <v>0</v>
      </c>
      <c r="P184" s="339" t="e">
        <f t="shared" si="102"/>
        <v>#DIV/0!</v>
      </c>
      <c r="Q184" s="339">
        <f>N184*'MONTAJE CERR PROPIOS STE EP'!$C$18</f>
        <v>0</v>
      </c>
      <c r="S184" s="339" t="e">
        <f t="shared" si="103"/>
        <v>#DIV/0!</v>
      </c>
      <c r="T184" s="339">
        <f t="shared" si="104"/>
        <v>0</v>
      </c>
      <c r="V184" s="315"/>
      <c r="W184" s="339" t="e">
        <f t="shared" si="105"/>
        <v>#DIV/0!</v>
      </c>
      <c r="X184" s="339">
        <f t="shared" si="106"/>
        <v>0</v>
      </c>
      <c r="Y184" s="315"/>
      <c r="Z184" s="315"/>
      <c r="AA184" s="315"/>
      <c r="AB184" s="315"/>
    </row>
    <row r="185" spans="2:28" ht="15.75" hidden="1" customHeight="1" thickBot="1" x14ac:dyDescent="0.4">
      <c r="B185" s="55"/>
      <c r="C185" s="535" t="s">
        <v>895</v>
      </c>
      <c r="D185" s="314" t="s">
        <v>373</v>
      </c>
      <c r="E185" s="386">
        <f>IF(METRAJE!I106&lt;1,0,1)</f>
        <v>0</v>
      </c>
      <c r="F185" s="315" t="s">
        <v>414</v>
      </c>
      <c r="H185" s="526">
        <f>IF(METRAJE!I106&lt;1,0,115.43*METRAJE!I106 + 517.64)</f>
        <v>0</v>
      </c>
      <c r="I185" s="526">
        <f t="shared" si="99"/>
        <v>0</v>
      </c>
      <c r="K185" s="316" cm="1">
        <f t="array" ref="K185">_xlfn.IFS(M$2=1,'PRICE LIST'!L189,M$2=2,'PRICE LIST'!O189,$M$2=3,'PRICE LIST'!AA189,$M$2=4,H185*$H$2)</f>
        <v>0</v>
      </c>
      <c r="M185" s="339">
        <f t="shared" si="100"/>
        <v>0</v>
      </c>
      <c r="N185" s="376">
        <f t="shared" si="101"/>
        <v>0</v>
      </c>
      <c r="P185" s="339" t="e">
        <f t="shared" si="102"/>
        <v>#DIV/0!</v>
      </c>
      <c r="Q185" s="339">
        <f>N185*'MONTAJE CERR PROPIOS STE EP'!$C$18</f>
        <v>0</v>
      </c>
      <c r="S185" s="339" t="e">
        <f t="shared" si="103"/>
        <v>#DIV/0!</v>
      </c>
      <c r="T185" s="339">
        <f t="shared" si="104"/>
        <v>0</v>
      </c>
      <c r="V185" s="315"/>
      <c r="W185" s="339" t="e">
        <f t="shared" si="105"/>
        <v>#DIV/0!</v>
      </c>
      <c r="X185" s="339">
        <f t="shared" si="106"/>
        <v>0</v>
      </c>
      <c r="Y185" s="315"/>
      <c r="Z185" s="315"/>
      <c r="AA185" s="315"/>
      <c r="AB185" s="315"/>
    </row>
    <row r="186" spans="2:28" ht="15.75" hidden="1" customHeight="1" thickBot="1" x14ac:dyDescent="0.35">
      <c r="B186" s="55"/>
      <c r="C186" s="535"/>
      <c r="E186" s="514"/>
      <c r="M186" s="339"/>
      <c r="N186" s="376"/>
      <c r="P186" s="339"/>
      <c r="Q186" s="339"/>
      <c r="S186" s="339"/>
      <c r="T186" s="339"/>
      <c r="V186" s="315"/>
      <c r="W186" s="339"/>
      <c r="X186" s="339"/>
      <c r="Y186" s="315"/>
      <c r="Z186" s="315"/>
      <c r="AA186" s="315"/>
      <c r="AB186" s="315"/>
    </row>
    <row r="187" spans="2:28" ht="15.75" hidden="1" customHeight="1" thickBot="1" x14ac:dyDescent="0.4">
      <c r="B187" s="55"/>
      <c r="C187" s="535"/>
      <c r="D187" s="314" t="s">
        <v>1021</v>
      </c>
      <c r="E187" s="385">
        <v>0</v>
      </c>
      <c r="F187" s="315" t="s">
        <v>414</v>
      </c>
      <c r="H187" s="526">
        <f>'PRICE LIST'!H191</f>
        <v>500</v>
      </c>
      <c r="I187" s="526">
        <f t="shared" si="99"/>
        <v>0</v>
      </c>
      <c r="K187" s="316" cm="1">
        <f t="array" ref="K187">_xlfn.IFS(M$2=1,'PRICE LIST'!L191,M$2=2,'PRICE LIST'!O191,$M$2=3,'PRICE LIST'!AA191,$M$2=4,H187*$H$2)</f>
        <v>769.30000000000007</v>
      </c>
      <c r="M187" s="339">
        <f t="shared" si="100"/>
        <v>0</v>
      </c>
      <c r="N187" s="376">
        <f t="shared" si="101"/>
        <v>0</v>
      </c>
      <c r="P187" s="339" t="e">
        <f t="shared" si="102"/>
        <v>#DIV/0!</v>
      </c>
      <c r="Q187" s="339">
        <f>N187*'MONTAJE CERR PROPIOS STE EP'!$C$18</f>
        <v>0</v>
      </c>
      <c r="S187" s="339" t="e">
        <f t="shared" si="103"/>
        <v>#DIV/0!</v>
      </c>
      <c r="T187" s="339">
        <f t="shared" si="104"/>
        <v>0</v>
      </c>
      <c r="V187" s="315"/>
      <c r="W187" s="339" t="e">
        <f t="shared" si="105"/>
        <v>#DIV/0!</v>
      </c>
      <c r="X187" s="339">
        <f t="shared" si="106"/>
        <v>0</v>
      </c>
      <c r="Y187" s="315"/>
      <c r="Z187" s="315"/>
      <c r="AA187" s="315"/>
      <c r="AB187" s="315"/>
    </row>
    <row r="188" spans="2:28" ht="15.75" hidden="1" customHeight="1" thickBot="1" x14ac:dyDescent="0.4">
      <c r="B188" s="55"/>
      <c r="C188" s="535"/>
      <c r="D188" s="314" t="s">
        <v>1022</v>
      </c>
      <c r="E188" s="385">
        <v>0</v>
      </c>
      <c r="F188" s="315" t="s">
        <v>414</v>
      </c>
      <c r="H188" s="526">
        <f>'PRICE LIST'!H192</f>
        <v>200</v>
      </c>
      <c r="I188" s="526">
        <f t="shared" si="99"/>
        <v>0</v>
      </c>
      <c r="K188" s="316" cm="1">
        <f t="array" ref="K188">_xlfn.IFS(M$2=1,'PRICE LIST'!L192,M$2=2,'PRICE LIST'!O192,$M$2=3,'PRICE LIST'!AA192,$M$2=4,H188*$H$2)</f>
        <v>307.70000000000005</v>
      </c>
      <c r="M188" s="339">
        <f t="shared" si="100"/>
        <v>0</v>
      </c>
      <c r="N188" s="376">
        <f t="shared" si="101"/>
        <v>0</v>
      </c>
      <c r="P188" s="339" t="e">
        <f t="shared" si="102"/>
        <v>#DIV/0!</v>
      </c>
      <c r="Q188" s="339">
        <f>N188*'MONTAJE CERR PROPIOS STE EP'!$C$18</f>
        <v>0</v>
      </c>
      <c r="S188" s="339" t="e">
        <f t="shared" si="103"/>
        <v>#DIV/0!</v>
      </c>
      <c r="T188" s="339">
        <f t="shared" si="104"/>
        <v>0</v>
      </c>
      <c r="V188" s="315"/>
      <c r="W188" s="339" t="e">
        <f t="shared" si="105"/>
        <v>#DIV/0!</v>
      </c>
      <c r="X188" s="339">
        <f t="shared" si="106"/>
        <v>0</v>
      </c>
      <c r="Y188" s="315"/>
      <c r="Z188" s="315"/>
      <c r="AA188" s="315"/>
      <c r="AB188" s="315"/>
    </row>
    <row r="189" spans="2:28" ht="15.75" hidden="1" customHeight="1" x14ac:dyDescent="0.25">
      <c r="M189" s="339"/>
      <c r="P189" s="339"/>
      <c r="Q189" s="339"/>
      <c r="S189" s="339"/>
      <c r="T189" s="339"/>
      <c r="V189" s="315"/>
      <c r="W189" s="339"/>
      <c r="X189" s="339"/>
      <c r="Y189" s="315"/>
      <c r="Z189" s="315"/>
      <c r="AA189" s="315"/>
      <c r="AB189" s="315"/>
    </row>
    <row r="190" spans="2:28" ht="16.5" hidden="1" customHeight="1" x14ac:dyDescent="0.3">
      <c r="B190" s="352"/>
      <c r="C190" s="352"/>
      <c r="D190" s="313" t="s">
        <v>175</v>
      </c>
      <c r="E190" s="313"/>
      <c r="F190" s="332"/>
      <c r="G190" s="332"/>
      <c r="H190" s="527"/>
      <c r="I190" s="527"/>
      <c r="J190" s="334"/>
      <c r="K190" s="333"/>
      <c r="L190" s="334"/>
      <c r="M190" s="335"/>
      <c r="N190" s="333"/>
      <c r="O190" s="334"/>
      <c r="P190" s="335"/>
      <c r="Q190" s="335"/>
      <c r="R190" s="334"/>
      <c r="S190" s="335"/>
      <c r="T190" s="335"/>
      <c r="U190" s="334"/>
      <c r="V190" s="315"/>
      <c r="W190" s="335"/>
      <c r="X190" s="335"/>
      <c r="Y190" s="315"/>
      <c r="Z190" s="315"/>
      <c r="AA190" s="315"/>
      <c r="AB190" s="315"/>
    </row>
    <row r="191" spans="2:28" ht="16.5" hidden="1" customHeight="1" thickBot="1" x14ac:dyDescent="0.3">
      <c r="D191" s="327"/>
      <c r="E191" s="327"/>
      <c r="F191" s="328"/>
      <c r="G191" s="328"/>
      <c r="H191" s="326"/>
      <c r="I191" s="326"/>
      <c r="J191" s="326"/>
      <c r="K191" s="326"/>
      <c r="L191" s="326"/>
      <c r="M191" s="331"/>
      <c r="N191" s="326"/>
      <c r="O191" s="326"/>
      <c r="P191" s="331"/>
      <c r="Q191" s="331"/>
      <c r="R191" s="326"/>
      <c r="S191" s="331"/>
      <c r="T191" s="331"/>
      <c r="U191" s="326"/>
      <c r="V191" s="315"/>
      <c r="W191" s="331"/>
      <c r="X191" s="331"/>
      <c r="Y191" s="315"/>
      <c r="Z191" s="315"/>
      <c r="AA191" s="315"/>
      <c r="AB191" s="315"/>
    </row>
    <row r="192" spans="2:28" ht="16.5" hidden="1" customHeight="1" thickBot="1" x14ac:dyDescent="0.4">
      <c r="B192" s="55" t="s">
        <v>990</v>
      </c>
      <c r="C192" s="535" t="s">
        <v>896</v>
      </c>
      <c r="D192" s="314" t="s">
        <v>431</v>
      </c>
      <c r="E192" s="386">
        <f>METRAJE!I72</f>
        <v>0</v>
      </c>
      <c r="F192" s="315" t="s">
        <v>414</v>
      </c>
      <c r="H192" s="526">
        <f>'PRICE LIST'!H196</f>
        <v>294.60000000000002</v>
      </c>
      <c r="I192" s="526">
        <f t="shared" ref="I192:I194" si="112">H192*E192</f>
        <v>0</v>
      </c>
      <c r="K192" s="316" cm="1">
        <f t="array" ref="K192">_xlfn.IFS(M$2=1,'PRICE LIST'!L196,M$2=2,'PRICE LIST'!O196,$M$2=3,'PRICE LIST'!AA196,$M$2=4,H192*$H$2)</f>
        <v>475.20000000000005</v>
      </c>
      <c r="M192" s="339">
        <f>K192*E192</f>
        <v>0</v>
      </c>
      <c r="N192" s="376">
        <f>M192/$M$250</f>
        <v>0</v>
      </c>
      <c r="P192" s="339" t="e">
        <f t="shared" ref="P192:P194" si="113">Q192/E192</f>
        <v>#DIV/0!</v>
      </c>
      <c r="Q192" s="339">
        <f>N192*'MONTAJE CERR PROPIOS STE EP'!$C$18</f>
        <v>0</v>
      </c>
      <c r="S192" s="339" t="e">
        <f t="shared" ref="S192:T194" si="114">P192*FMONTAJE</f>
        <v>#DIV/0!</v>
      </c>
      <c r="T192" s="339">
        <f t="shared" si="114"/>
        <v>0</v>
      </c>
      <c r="V192" s="315"/>
      <c r="W192" s="339" t="e">
        <f t="shared" ref="W192:W194" si="115">K192+S192</f>
        <v>#DIV/0!</v>
      </c>
      <c r="X192" s="339">
        <f t="shared" ref="X192:X194" si="116">M192+T192</f>
        <v>0</v>
      </c>
      <c r="Y192" s="315"/>
      <c r="Z192" s="315"/>
      <c r="AA192" s="315"/>
      <c r="AB192" s="315"/>
    </row>
    <row r="193" spans="2:28" ht="16.5" hidden="1" customHeight="1" thickBot="1" x14ac:dyDescent="0.4">
      <c r="B193" s="55" t="s">
        <v>991</v>
      </c>
      <c r="C193" s="535" t="s">
        <v>897</v>
      </c>
      <c r="D193" s="314" t="s">
        <v>432</v>
      </c>
      <c r="E193" s="386">
        <f>METRAJE!I73</f>
        <v>0</v>
      </c>
      <c r="F193" s="315" t="s">
        <v>414</v>
      </c>
      <c r="H193" s="526">
        <f>'PRICE LIST'!H197</f>
        <v>514.20000000000005</v>
      </c>
      <c r="I193" s="526">
        <f t="shared" si="112"/>
        <v>0</v>
      </c>
      <c r="K193" s="316" cm="1">
        <f t="array" ref="K193">_xlfn.IFS(M$2=1,'PRICE LIST'!L197,M$2=2,'PRICE LIST'!O197,$M$2=3,'PRICE LIST'!AA197,$M$2=4,H193*$H$2)</f>
        <v>829.4</v>
      </c>
      <c r="M193" s="339">
        <f>K193*E193</f>
        <v>0</v>
      </c>
      <c r="N193" s="376">
        <f>M193/$M$250</f>
        <v>0</v>
      </c>
      <c r="P193" s="339" t="e">
        <f t="shared" si="113"/>
        <v>#DIV/0!</v>
      </c>
      <c r="Q193" s="339">
        <f>N193*'MONTAJE CERR PROPIOS STE EP'!$C$18</f>
        <v>0</v>
      </c>
      <c r="S193" s="339" t="e">
        <f t="shared" si="114"/>
        <v>#DIV/0!</v>
      </c>
      <c r="T193" s="339">
        <f t="shared" si="114"/>
        <v>0</v>
      </c>
      <c r="V193" s="315"/>
      <c r="W193" s="339" t="e">
        <f t="shared" si="115"/>
        <v>#DIV/0!</v>
      </c>
      <c r="X193" s="339">
        <f t="shared" si="116"/>
        <v>0</v>
      </c>
      <c r="Y193" s="315"/>
      <c r="Z193" s="315"/>
      <c r="AA193" s="315"/>
      <c r="AB193" s="315"/>
    </row>
    <row r="194" spans="2:28" ht="17.25" hidden="1" customHeight="1" thickBot="1" x14ac:dyDescent="0.4">
      <c r="B194" s="55" t="s">
        <v>992</v>
      </c>
      <c r="C194" s="535" t="s">
        <v>898</v>
      </c>
      <c r="D194" s="314" t="s">
        <v>178</v>
      </c>
      <c r="E194" s="385">
        <v>0</v>
      </c>
      <c r="F194" s="315" t="s">
        <v>414</v>
      </c>
      <c r="H194" s="530">
        <f>'PRICE LIST'!H198</f>
        <v>133.43</v>
      </c>
      <c r="I194" s="526">
        <f t="shared" si="112"/>
        <v>0</v>
      </c>
      <c r="K194" s="316" cm="1">
        <f t="array" ref="K194">_xlfn.IFS(M$2=1,'PRICE LIST'!L198,M$2=2,'PRICE LIST'!O198,$M$2=3,'PRICE LIST'!AA198,$M$2=4,H194*$H$2)</f>
        <v>303.3</v>
      </c>
      <c r="M194" s="339">
        <f>K194*E194</f>
        <v>0</v>
      </c>
      <c r="N194" s="376">
        <f>M194/$M$250</f>
        <v>0</v>
      </c>
      <c r="P194" s="339" t="e">
        <f t="shared" si="113"/>
        <v>#DIV/0!</v>
      </c>
      <c r="Q194" s="339">
        <f>N194*'MONTAJE CERR PROPIOS STE EP'!$C$18</f>
        <v>0</v>
      </c>
      <c r="S194" s="339" t="e">
        <f t="shared" si="114"/>
        <v>#DIV/0!</v>
      </c>
      <c r="T194" s="339">
        <f t="shared" si="114"/>
        <v>0</v>
      </c>
      <c r="V194" s="315"/>
      <c r="W194" s="339" t="e">
        <f t="shared" si="115"/>
        <v>#DIV/0!</v>
      </c>
      <c r="X194" s="339">
        <f t="shared" si="116"/>
        <v>0</v>
      </c>
      <c r="Y194" s="315"/>
      <c r="Z194" s="315"/>
      <c r="AA194" s="315"/>
      <c r="AB194" s="315"/>
    </row>
    <row r="195" spans="2:28" hidden="1" x14ac:dyDescent="0.25">
      <c r="M195" s="339"/>
      <c r="P195" s="339"/>
      <c r="Q195" s="339"/>
      <c r="S195" s="339"/>
      <c r="T195" s="339"/>
      <c r="V195" s="315"/>
      <c r="W195" s="339"/>
      <c r="X195" s="339"/>
      <c r="Y195" s="315"/>
      <c r="Z195" s="315"/>
      <c r="AA195" s="315"/>
      <c r="AB195" s="315"/>
    </row>
    <row r="196" spans="2:28" ht="15.75" hidden="1" customHeight="1" x14ac:dyDescent="0.3">
      <c r="B196" s="352"/>
      <c r="C196" s="352"/>
      <c r="D196" s="313" t="s">
        <v>179</v>
      </c>
      <c r="E196" s="313"/>
      <c r="F196" s="332"/>
      <c r="G196" s="332"/>
      <c r="H196" s="527"/>
      <c r="I196" s="527"/>
      <c r="J196" s="334"/>
      <c r="K196" s="333"/>
      <c r="L196" s="334"/>
      <c r="M196" s="335"/>
      <c r="N196" s="333"/>
      <c r="O196" s="334"/>
      <c r="P196" s="335"/>
      <c r="Q196" s="335"/>
      <c r="R196" s="334"/>
      <c r="S196" s="335"/>
      <c r="T196" s="335"/>
      <c r="U196" s="334"/>
      <c r="V196" s="315"/>
      <c r="W196" s="335"/>
      <c r="X196" s="335"/>
      <c r="Y196" s="315"/>
      <c r="Z196" s="315"/>
      <c r="AA196" s="315"/>
      <c r="AB196" s="315"/>
    </row>
    <row r="197" spans="2:28" ht="13" hidden="1" x14ac:dyDescent="0.3">
      <c r="D197" s="327"/>
      <c r="E197" s="327"/>
      <c r="F197" s="328"/>
      <c r="G197" s="328"/>
      <c r="H197" s="326"/>
      <c r="I197" s="326"/>
      <c r="J197" s="326"/>
      <c r="K197" s="326"/>
      <c r="L197" s="326"/>
      <c r="M197" s="331"/>
      <c r="N197" s="326"/>
      <c r="O197" s="326"/>
      <c r="P197" s="331"/>
      <c r="Q197" s="331"/>
      <c r="R197" s="326"/>
      <c r="S197" s="331"/>
      <c r="T197" s="331"/>
      <c r="U197" s="326"/>
      <c r="V197" s="315"/>
      <c r="W197" s="331"/>
      <c r="X197" s="331"/>
      <c r="Y197" s="315"/>
      <c r="Z197" s="315"/>
      <c r="AA197" s="315"/>
      <c r="AB197" s="315"/>
    </row>
    <row r="198" spans="2:28" ht="15" hidden="1" thickBot="1" x14ac:dyDescent="0.4">
      <c r="B198" s="55" t="s">
        <v>993</v>
      </c>
      <c r="C198" s="535" t="s">
        <v>901</v>
      </c>
      <c r="D198" s="55" t="s">
        <v>180</v>
      </c>
      <c r="E198" s="385">
        <v>0</v>
      </c>
      <c r="F198" s="315" t="s">
        <v>414</v>
      </c>
      <c r="H198" s="526">
        <f>'PRICE LIST'!H202</f>
        <v>1600</v>
      </c>
      <c r="I198" s="526">
        <f t="shared" ref="I198:I209" si="117">H198*E198</f>
        <v>0</v>
      </c>
      <c r="K198" s="316" cm="1">
        <f t="array" ref="K198">_xlfn.IFS(M$2=1,'PRICE LIST'!L202,M$2=2,'PRICE LIST'!O202,$M$2=3,'PRICE LIST'!AA202,$M$2=4,H198*$H$2)</f>
        <v>2666.7</v>
      </c>
      <c r="M198" s="339">
        <f>K198*E198</f>
        <v>0</v>
      </c>
      <c r="N198" s="376">
        <f>M198/$M$250</f>
        <v>0</v>
      </c>
      <c r="P198" s="339" t="e">
        <f t="shared" ref="P198:P199" si="118">Q198/E198</f>
        <v>#DIV/0!</v>
      </c>
      <c r="Q198" s="339">
        <f>N198*'MONTAJE CERR PROPIOS STE EP'!$C$18</f>
        <v>0</v>
      </c>
      <c r="S198" s="339" t="e">
        <f>P198*FMONTAJE</f>
        <v>#DIV/0!</v>
      </c>
      <c r="T198" s="339">
        <f>Q198*FMONTAJE</f>
        <v>0</v>
      </c>
      <c r="V198" s="315"/>
      <c r="W198" s="339" t="e">
        <f t="shared" ref="W198:W199" si="119">K198+S198</f>
        <v>#DIV/0!</v>
      </c>
      <c r="X198" s="339">
        <f t="shared" ref="X198:X199" si="120">M198+T198</f>
        <v>0</v>
      </c>
      <c r="Y198" s="315"/>
      <c r="Z198" s="315"/>
      <c r="AA198" s="315"/>
      <c r="AB198" s="315"/>
    </row>
    <row r="199" spans="2:28" ht="15" hidden="1" thickBot="1" x14ac:dyDescent="0.4">
      <c r="B199" s="55" t="s">
        <v>994</v>
      </c>
      <c r="C199" s="535" t="s">
        <v>902</v>
      </c>
      <c r="D199" s="55" t="s">
        <v>181</v>
      </c>
      <c r="E199" s="385">
        <v>0</v>
      </c>
      <c r="H199" s="526">
        <f>'PRICE LIST'!H203</f>
        <v>0</v>
      </c>
      <c r="I199" s="526">
        <f t="shared" si="117"/>
        <v>0</v>
      </c>
      <c r="K199" s="316" cm="1">
        <f t="array" ref="K199">_xlfn.IFS(M$2=1,'PRICE LIST'!L203,M$2=2,'PRICE LIST'!O203,$M$2=3,'PRICE LIST'!AA203,$M$2=4,H199*$H$2)</f>
        <v>0</v>
      </c>
      <c r="M199" s="339">
        <f>K199*E199</f>
        <v>0</v>
      </c>
      <c r="N199" s="376">
        <f>M199/$M$250</f>
        <v>0</v>
      </c>
      <c r="P199" s="339" t="e">
        <f t="shared" si="118"/>
        <v>#DIV/0!</v>
      </c>
      <c r="Q199" s="339">
        <f>N199*'MONTAJE CERR PROPIOS STE EP'!$C$18</f>
        <v>0</v>
      </c>
      <c r="S199" s="339" t="e">
        <f>P199*FMONTAJE</f>
        <v>#DIV/0!</v>
      </c>
      <c r="T199" s="339">
        <f>Q199*FMONTAJE</f>
        <v>0</v>
      </c>
      <c r="V199" s="315"/>
      <c r="W199" s="339" t="e">
        <f t="shared" si="119"/>
        <v>#DIV/0!</v>
      </c>
      <c r="X199" s="339">
        <f t="shared" si="120"/>
        <v>0</v>
      </c>
      <c r="Y199" s="315"/>
      <c r="Z199" s="315"/>
      <c r="AA199" s="315"/>
      <c r="AB199" s="315"/>
    </row>
    <row r="200" spans="2:28" ht="14.5" hidden="1" x14ac:dyDescent="0.35">
      <c r="B200" s="55"/>
      <c r="C200" s="535"/>
      <c r="D200" s="55"/>
      <c r="M200" s="339"/>
      <c r="P200" s="339"/>
      <c r="Q200" s="339"/>
      <c r="S200" s="339"/>
      <c r="T200" s="339"/>
      <c r="V200" s="315"/>
      <c r="W200" s="339"/>
      <c r="X200" s="339"/>
      <c r="Y200" s="315"/>
      <c r="Z200" s="315"/>
      <c r="AA200" s="315"/>
      <c r="AB200" s="315"/>
    </row>
    <row r="201" spans="2:28" ht="15" hidden="1" thickBot="1" x14ac:dyDescent="0.4">
      <c r="B201" s="55" t="s">
        <v>995</v>
      </c>
      <c r="C201" s="535" t="s">
        <v>899</v>
      </c>
      <c r="D201" s="55" t="s">
        <v>182</v>
      </c>
      <c r="E201" s="385">
        <v>0</v>
      </c>
      <c r="F201" s="315" t="s">
        <v>414</v>
      </c>
      <c r="H201" s="526">
        <f>'PRICE LIST'!H205</f>
        <v>2136</v>
      </c>
      <c r="I201" s="526">
        <f t="shared" si="117"/>
        <v>0</v>
      </c>
      <c r="K201" s="316" cm="1">
        <f t="array" ref="K201">_xlfn.IFS(M$2=1,'PRICE LIST'!L205,M$2=2,'PRICE LIST'!O205,$M$2=3,'PRICE LIST'!AA205,$M$2=4,H201*$H$2)</f>
        <v>3560</v>
      </c>
      <c r="M201" s="339">
        <f>K201*E201</f>
        <v>0</v>
      </c>
      <c r="N201" s="376">
        <f>M201/$M$250</f>
        <v>0</v>
      </c>
      <c r="P201" s="339" t="e">
        <f t="shared" ref="P201:P202" si="121">Q201/E201</f>
        <v>#DIV/0!</v>
      </c>
      <c r="Q201" s="339">
        <f>N201*'MONTAJE CERR PROPIOS STE EP'!$C$18</f>
        <v>0</v>
      </c>
      <c r="S201" s="339" t="e">
        <f>P201*FMONTAJE</f>
        <v>#DIV/0!</v>
      </c>
      <c r="T201" s="339">
        <f>Q201*FMONTAJE</f>
        <v>0</v>
      </c>
      <c r="V201" s="315"/>
      <c r="W201" s="339" t="e">
        <f t="shared" ref="W201:W202" si="122">K201+S201</f>
        <v>#DIV/0!</v>
      </c>
      <c r="X201" s="339">
        <f t="shared" ref="X201:X202" si="123">M201+T201</f>
        <v>0</v>
      </c>
      <c r="Y201" s="315"/>
      <c r="Z201" s="315"/>
      <c r="AA201" s="315"/>
      <c r="AB201" s="315"/>
    </row>
    <row r="202" spans="2:28" ht="15" hidden="1" thickBot="1" x14ac:dyDescent="0.4">
      <c r="B202" s="55" t="s">
        <v>996</v>
      </c>
      <c r="C202" s="535" t="s">
        <v>900</v>
      </c>
      <c r="D202" s="55" t="s">
        <v>183</v>
      </c>
      <c r="E202" s="385">
        <v>0</v>
      </c>
      <c r="F202" s="315" t="s">
        <v>414</v>
      </c>
      <c r="H202" s="526">
        <f>'PRICE LIST'!H206</f>
        <v>2250</v>
      </c>
      <c r="I202" s="526">
        <f t="shared" si="117"/>
        <v>0</v>
      </c>
      <c r="K202" s="316" cm="1">
        <f t="array" ref="K202">_xlfn.IFS(M$2=1,'PRICE LIST'!L206,M$2=2,'PRICE LIST'!O206,$M$2=3,'PRICE LIST'!AA206,$M$2=4,H202*$H$2)</f>
        <v>3750</v>
      </c>
      <c r="M202" s="339">
        <f>K202*E202</f>
        <v>0</v>
      </c>
      <c r="N202" s="376">
        <f>M202/$M$250</f>
        <v>0</v>
      </c>
      <c r="P202" s="339" t="e">
        <f t="shared" si="121"/>
        <v>#DIV/0!</v>
      </c>
      <c r="Q202" s="339">
        <f>N202*'MONTAJE CERR PROPIOS STE EP'!$C$18</f>
        <v>0</v>
      </c>
      <c r="S202" s="339" t="e">
        <f>P202*FMONTAJE</f>
        <v>#DIV/0!</v>
      </c>
      <c r="T202" s="339">
        <f>Q202*FMONTAJE</f>
        <v>0</v>
      </c>
      <c r="V202" s="315"/>
      <c r="W202" s="339" t="e">
        <f t="shared" si="122"/>
        <v>#DIV/0!</v>
      </c>
      <c r="X202" s="339">
        <f t="shared" si="123"/>
        <v>0</v>
      </c>
      <c r="Y202" s="315"/>
      <c r="Z202" s="315"/>
      <c r="AA202" s="315"/>
      <c r="AB202" s="315"/>
    </row>
    <row r="203" spans="2:28" ht="16.5" hidden="1" customHeight="1" thickBot="1" x14ac:dyDescent="0.35">
      <c r="B203" s="55"/>
      <c r="C203" s="535"/>
      <c r="D203" s="55"/>
      <c r="M203" s="339"/>
      <c r="P203" s="339"/>
      <c r="Q203" s="339"/>
      <c r="S203" s="339"/>
      <c r="T203" s="339"/>
      <c r="V203" s="315"/>
      <c r="W203" s="339"/>
      <c r="X203" s="339"/>
      <c r="Y203" s="315"/>
      <c r="Z203" s="315"/>
      <c r="AA203" s="315"/>
      <c r="AB203" s="315"/>
    </row>
    <row r="204" spans="2:28" ht="16.5" hidden="1" customHeight="1" thickBot="1" x14ac:dyDescent="0.4">
      <c r="B204" s="55" t="s">
        <v>997</v>
      </c>
      <c r="C204" s="535" t="s">
        <v>903</v>
      </c>
      <c r="D204" s="55" t="s">
        <v>184</v>
      </c>
      <c r="E204" s="385">
        <v>0</v>
      </c>
      <c r="F204" s="315" t="s">
        <v>414</v>
      </c>
      <c r="H204" s="526">
        <f>'PRICE LIST'!H208</f>
        <v>3400</v>
      </c>
      <c r="I204" s="526">
        <f t="shared" si="117"/>
        <v>0</v>
      </c>
      <c r="K204" s="316" cm="1">
        <f t="array" ref="K204">_xlfn.IFS(M$2=1,'PRICE LIST'!L208,M$2=2,'PRICE LIST'!O208,$M$2=3,'PRICE LIST'!AA208,$M$2=4,H204*$H$2)</f>
        <v>0</v>
      </c>
      <c r="M204" s="339">
        <f>K204*E204</f>
        <v>0</v>
      </c>
      <c r="N204" s="376">
        <f>M204/$M$250</f>
        <v>0</v>
      </c>
      <c r="P204" s="339" t="e">
        <f t="shared" ref="P204:P205" si="124">Q204/E204</f>
        <v>#DIV/0!</v>
      </c>
      <c r="Q204" s="339">
        <f>N204*'MONTAJE CERR PROPIOS STE EP'!$C$18</f>
        <v>0</v>
      </c>
      <c r="S204" s="339" t="e">
        <f>P204*FMONTAJE</f>
        <v>#DIV/0!</v>
      </c>
      <c r="T204" s="339">
        <f>Q204*FMONTAJE</f>
        <v>0</v>
      </c>
      <c r="V204" s="315"/>
      <c r="W204" s="339" t="e">
        <f t="shared" ref="W204:W205" si="125">K204+S204</f>
        <v>#DIV/0!</v>
      </c>
      <c r="X204" s="339">
        <f t="shared" ref="X204:X205" si="126">M204+T204</f>
        <v>0</v>
      </c>
      <c r="Y204" s="315"/>
      <c r="Z204" s="315"/>
      <c r="AA204" s="315"/>
      <c r="AB204" s="315"/>
    </row>
    <row r="205" spans="2:28" ht="17.25" hidden="1" customHeight="1" thickBot="1" x14ac:dyDescent="0.4">
      <c r="B205" s="55" t="s">
        <v>998</v>
      </c>
      <c r="C205" s="535" t="s">
        <v>904</v>
      </c>
      <c r="D205" s="55" t="s">
        <v>185</v>
      </c>
      <c r="E205" s="385">
        <v>0</v>
      </c>
      <c r="F205" s="315" t="s">
        <v>414</v>
      </c>
      <c r="H205" s="526">
        <f>'PRICE LIST'!H209</f>
        <v>8450</v>
      </c>
      <c r="I205" s="526">
        <f t="shared" si="117"/>
        <v>0</v>
      </c>
      <c r="K205" s="316" cm="1">
        <f t="array" ref="K205">_xlfn.IFS(M$2=1,'PRICE LIST'!L209,M$2=2,'PRICE LIST'!O209,$M$2=3,'PRICE LIST'!AA209,$M$2=4,H205*$H$2)</f>
        <v>0</v>
      </c>
      <c r="M205" s="339">
        <f>K205*E205</f>
        <v>0</v>
      </c>
      <c r="N205" s="376">
        <f>M205/$M$250</f>
        <v>0</v>
      </c>
      <c r="P205" s="339" t="e">
        <f t="shared" si="124"/>
        <v>#DIV/0!</v>
      </c>
      <c r="Q205" s="339">
        <f>N205*'MONTAJE CERR PROPIOS STE EP'!$C$18</f>
        <v>0</v>
      </c>
      <c r="S205" s="339" t="e">
        <f>P205*FMONTAJE</f>
        <v>#DIV/0!</v>
      </c>
      <c r="T205" s="339">
        <f>Q205*FMONTAJE</f>
        <v>0</v>
      </c>
      <c r="V205" s="315"/>
      <c r="W205" s="339" t="e">
        <f t="shared" si="125"/>
        <v>#DIV/0!</v>
      </c>
      <c r="X205" s="339">
        <f t="shared" si="126"/>
        <v>0</v>
      </c>
      <c r="Y205" s="315"/>
      <c r="Z205" s="315"/>
      <c r="AA205" s="315"/>
      <c r="AB205" s="315"/>
    </row>
    <row r="206" spans="2:28" ht="17.25" hidden="1" customHeight="1" thickBot="1" x14ac:dyDescent="0.35">
      <c r="B206" s="55"/>
      <c r="C206" s="535"/>
      <c r="D206" s="55"/>
      <c r="M206" s="339"/>
      <c r="P206" s="339"/>
      <c r="Q206" s="339"/>
      <c r="S206" s="339"/>
      <c r="T206" s="339"/>
      <c r="V206" s="315"/>
      <c r="W206" s="339"/>
      <c r="X206" s="339"/>
      <c r="Y206" s="315"/>
      <c r="Z206" s="315"/>
      <c r="AA206" s="315"/>
      <c r="AB206" s="315"/>
    </row>
    <row r="207" spans="2:28" ht="16.5" hidden="1" customHeight="1" thickBot="1" x14ac:dyDescent="0.4">
      <c r="B207" s="55"/>
      <c r="C207" s="535" t="s">
        <v>905</v>
      </c>
      <c r="D207" s="55" t="s">
        <v>186</v>
      </c>
      <c r="E207" s="385">
        <v>0</v>
      </c>
      <c r="F207" s="315" t="s">
        <v>414</v>
      </c>
      <c r="H207" s="526">
        <f>'PRICE LIST'!H211</f>
        <v>0</v>
      </c>
      <c r="I207" s="526">
        <f t="shared" si="117"/>
        <v>0</v>
      </c>
      <c r="K207" s="316" cm="1">
        <f t="array" ref="K207">_xlfn.IFS(M$2=1,'PRICE LIST'!L211,M$2=2,'PRICE LIST'!O211,$M$2=3,'PRICE LIST'!AA211,$M$2=4,H207*$H$2)</f>
        <v>0</v>
      </c>
      <c r="M207" s="339">
        <f>K207*E207</f>
        <v>0</v>
      </c>
      <c r="N207" s="376">
        <f>M207/$M$250</f>
        <v>0</v>
      </c>
      <c r="P207" s="339" t="e">
        <f t="shared" ref="P207:P209" si="127">Q207/E207</f>
        <v>#DIV/0!</v>
      </c>
      <c r="Q207" s="339">
        <f>N207*'MONTAJE CERR PROPIOS STE EP'!$C$18</f>
        <v>0</v>
      </c>
      <c r="S207" s="339" t="e">
        <f t="shared" ref="S207:T209" si="128">P207*FMONTAJE</f>
        <v>#DIV/0!</v>
      </c>
      <c r="T207" s="339">
        <f t="shared" si="128"/>
        <v>0</v>
      </c>
      <c r="V207" s="315"/>
      <c r="W207" s="339" t="e">
        <f t="shared" ref="W207:W209" si="129">K207+S207</f>
        <v>#DIV/0!</v>
      </c>
      <c r="X207" s="339">
        <f t="shared" ref="X207:X209" si="130">M207+T207</f>
        <v>0</v>
      </c>
      <c r="Y207" s="315"/>
      <c r="Z207" s="315"/>
      <c r="AA207" s="315"/>
      <c r="AB207" s="315"/>
    </row>
    <row r="208" spans="2:28" ht="17.25" hidden="1" customHeight="1" thickBot="1" x14ac:dyDescent="0.4">
      <c r="B208" s="55"/>
      <c r="C208" s="535" t="s">
        <v>906</v>
      </c>
      <c r="D208" s="55" t="s">
        <v>187</v>
      </c>
      <c r="E208" s="385">
        <v>0</v>
      </c>
      <c r="F208" s="315" t="s">
        <v>414</v>
      </c>
      <c r="H208" s="526">
        <f>'PRICE LIST'!H212</f>
        <v>0</v>
      </c>
      <c r="I208" s="526">
        <f t="shared" si="117"/>
        <v>0</v>
      </c>
      <c r="K208" s="316" cm="1">
        <f t="array" ref="K208">_xlfn.IFS(M$2=1,'PRICE LIST'!L212,M$2=2,'PRICE LIST'!O212,$M$2=3,'PRICE LIST'!AA212,$M$2=4,H208*$H$2)</f>
        <v>0</v>
      </c>
      <c r="M208" s="339">
        <f>K208*E208</f>
        <v>0</v>
      </c>
      <c r="N208" s="376">
        <f>M208/$M$250</f>
        <v>0</v>
      </c>
      <c r="P208" s="339" t="e">
        <f t="shared" si="127"/>
        <v>#DIV/0!</v>
      </c>
      <c r="Q208" s="339">
        <f>N208*'MONTAJE CERR PROPIOS STE EP'!$C$18</f>
        <v>0</v>
      </c>
      <c r="S208" s="339" t="e">
        <f t="shared" si="128"/>
        <v>#DIV/0!</v>
      </c>
      <c r="T208" s="339">
        <f t="shared" si="128"/>
        <v>0</v>
      </c>
      <c r="V208" s="315"/>
      <c r="W208" s="339" t="e">
        <f t="shared" si="129"/>
        <v>#DIV/0!</v>
      </c>
      <c r="X208" s="339">
        <f t="shared" si="130"/>
        <v>0</v>
      </c>
      <c r="Y208" s="315"/>
      <c r="Z208" s="315"/>
      <c r="AA208" s="315"/>
      <c r="AB208" s="315"/>
    </row>
    <row r="209" spans="2:28" ht="18.75" hidden="1" customHeight="1" thickBot="1" x14ac:dyDescent="0.4">
      <c r="B209" s="55"/>
      <c r="C209" s="535" t="s">
        <v>907</v>
      </c>
      <c r="D209" s="55" t="s">
        <v>188</v>
      </c>
      <c r="E209" s="385">
        <v>0</v>
      </c>
      <c r="F209" s="315" t="s">
        <v>414</v>
      </c>
      <c r="H209" s="526">
        <f>'PRICE LIST'!H213</f>
        <v>78.55</v>
      </c>
      <c r="I209" s="526">
        <f t="shared" si="117"/>
        <v>0</v>
      </c>
      <c r="K209" s="316" cm="1">
        <f t="array" ref="K209">_xlfn.IFS(M$2=1,'PRICE LIST'!L213,M$2=2,'PRICE LIST'!O213,$M$2=3,'PRICE LIST'!AA213,$M$2=4,H209*$H$2)</f>
        <v>131</v>
      </c>
      <c r="M209" s="339">
        <f>K209*E209</f>
        <v>0</v>
      </c>
      <c r="N209" s="376">
        <f>M209/$M$250</f>
        <v>0</v>
      </c>
      <c r="P209" s="339" t="e">
        <f t="shared" si="127"/>
        <v>#DIV/0!</v>
      </c>
      <c r="Q209" s="339">
        <f>N209*'MONTAJE CERR PROPIOS STE EP'!$C$18</f>
        <v>0</v>
      </c>
      <c r="S209" s="339" t="e">
        <f t="shared" si="128"/>
        <v>#DIV/0!</v>
      </c>
      <c r="T209" s="339">
        <f t="shared" si="128"/>
        <v>0</v>
      </c>
      <c r="V209" s="315"/>
      <c r="W209" s="339" t="e">
        <f t="shared" si="129"/>
        <v>#DIV/0!</v>
      </c>
      <c r="X209" s="339">
        <f t="shared" si="130"/>
        <v>0</v>
      </c>
      <c r="Y209" s="315"/>
      <c r="Z209" s="315"/>
      <c r="AA209" s="315"/>
      <c r="AB209" s="315"/>
    </row>
    <row r="210" spans="2:28" ht="14.25" hidden="1" customHeight="1" x14ac:dyDescent="0.25">
      <c r="M210" s="339"/>
      <c r="P210" s="339"/>
      <c r="Q210" s="339"/>
      <c r="S210" s="339"/>
      <c r="T210" s="339"/>
      <c r="V210" s="315"/>
      <c r="W210" s="339"/>
      <c r="X210" s="339"/>
      <c r="Y210" s="315"/>
      <c r="Z210" s="315"/>
      <c r="AA210" s="315"/>
      <c r="AB210" s="315"/>
    </row>
    <row r="211" spans="2:28" ht="13" hidden="1" x14ac:dyDescent="0.3">
      <c r="B211" s="352"/>
      <c r="C211" s="352"/>
      <c r="D211" s="313" t="s">
        <v>189</v>
      </c>
      <c r="E211" s="313"/>
      <c r="F211" s="332"/>
      <c r="G211" s="332"/>
      <c r="H211" s="527"/>
      <c r="I211" s="527"/>
      <c r="J211" s="334"/>
      <c r="K211" s="333"/>
      <c r="L211" s="334"/>
      <c r="M211" s="335"/>
      <c r="N211" s="333"/>
      <c r="O211" s="334"/>
      <c r="P211" s="335"/>
      <c r="Q211" s="335"/>
      <c r="R211" s="334"/>
      <c r="S211" s="335"/>
      <c r="T211" s="335"/>
      <c r="U211" s="334"/>
      <c r="V211" s="315"/>
      <c r="W211" s="335"/>
      <c r="X211" s="335"/>
      <c r="Y211" s="315"/>
      <c r="Z211" s="315"/>
      <c r="AA211" s="315"/>
      <c r="AB211" s="315"/>
    </row>
    <row r="212" spans="2:28" ht="13" hidden="1" x14ac:dyDescent="0.3">
      <c r="D212" s="327"/>
      <c r="E212" s="327"/>
      <c r="F212" s="328"/>
      <c r="G212" s="328"/>
      <c r="H212" s="326"/>
      <c r="I212" s="326"/>
      <c r="J212" s="326"/>
      <c r="K212" s="326"/>
      <c r="L212" s="326"/>
      <c r="M212" s="331"/>
      <c r="N212" s="326"/>
      <c r="O212" s="326"/>
      <c r="P212" s="331"/>
      <c r="Q212" s="331"/>
      <c r="R212" s="326"/>
      <c r="S212" s="331"/>
      <c r="T212" s="331"/>
      <c r="U212" s="326"/>
      <c r="V212" s="315"/>
      <c r="W212" s="331"/>
      <c r="X212" s="331"/>
      <c r="Y212" s="315"/>
      <c r="Z212" s="315"/>
      <c r="AA212" s="315"/>
      <c r="AB212" s="315"/>
    </row>
    <row r="213" spans="2:28" ht="15" hidden="1" thickBot="1" x14ac:dyDescent="0.4">
      <c r="B213" s="55" t="s">
        <v>999</v>
      </c>
      <c r="C213" s="535" t="s">
        <v>908</v>
      </c>
      <c r="D213" s="314" t="s">
        <v>433</v>
      </c>
      <c r="E213" s="386">
        <f>METRAJE!I83</f>
        <v>0</v>
      </c>
      <c r="F213" s="315" t="s">
        <v>414</v>
      </c>
      <c r="H213" s="526">
        <f>'PRICE LIST'!H217</f>
        <v>176</v>
      </c>
      <c r="I213" s="526">
        <f t="shared" ref="I213:I221" si="131">H213*E213</f>
        <v>0</v>
      </c>
      <c r="K213" s="316" cm="1">
        <f t="array" ref="K213">_xlfn.IFS(M$2=1,'PRICE LIST'!L217,M$2=2,'PRICE LIST'!O217,$M$2=3,'PRICE LIST'!AA217,$M$2=4,H213*$H$2)</f>
        <v>293.40000000000003</v>
      </c>
      <c r="M213" s="339">
        <f t="shared" ref="M213:M221" si="132">K213*E213</f>
        <v>0</v>
      </c>
      <c r="N213" s="376">
        <f t="shared" ref="N213:N221" si="133">M213/$M$250</f>
        <v>0</v>
      </c>
      <c r="P213" s="339" t="e">
        <f t="shared" ref="P213:P221" si="134">Q213/E213</f>
        <v>#DIV/0!</v>
      </c>
      <c r="Q213" s="339">
        <f>N213*'MONTAJE CERR PROPIOS STE EP'!$C$18</f>
        <v>0</v>
      </c>
      <c r="S213" s="339" t="e">
        <f t="shared" ref="S213:T221" si="135">P213*FMONTAJE</f>
        <v>#DIV/0!</v>
      </c>
      <c r="T213" s="339">
        <f t="shared" si="135"/>
        <v>0</v>
      </c>
      <c r="V213" s="315"/>
      <c r="W213" s="339" t="e">
        <f t="shared" ref="W213:W221" si="136">K213+S213</f>
        <v>#DIV/0!</v>
      </c>
      <c r="X213" s="339">
        <f t="shared" ref="X213:X221" si="137">M213+T213</f>
        <v>0</v>
      </c>
      <c r="Y213" s="315"/>
      <c r="Z213" s="315"/>
      <c r="AA213" s="315"/>
      <c r="AB213" s="315"/>
    </row>
    <row r="214" spans="2:28" ht="15" hidden="1" thickBot="1" x14ac:dyDescent="0.4">
      <c r="B214" s="55" t="s">
        <v>1000</v>
      </c>
      <c r="C214" s="535" t="s">
        <v>909</v>
      </c>
      <c r="D214" s="314" t="s">
        <v>434</v>
      </c>
      <c r="E214" s="386">
        <f>METRAJE!I84</f>
        <v>0</v>
      </c>
      <c r="F214" s="315" t="s">
        <v>414</v>
      </c>
      <c r="H214" s="526">
        <f>'PRICE LIST'!H218</f>
        <v>141</v>
      </c>
      <c r="I214" s="526">
        <f t="shared" si="131"/>
        <v>0</v>
      </c>
      <c r="K214" s="316" cm="1">
        <f t="array" ref="K214">_xlfn.IFS(M$2=1,'PRICE LIST'!L218,M$2=2,'PRICE LIST'!O218,$M$2=3,'PRICE LIST'!AA218,$M$2=4,H214*$H$2)</f>
        <v>235</v>
      </c>
      <c r="M214" s="339">
        <f t="shared" si="132"/>
        <v>0</v>
      </c>
      <c r="N214" s="376">
        <f t="shared" si="133"/>
        <v>0</v>
      </c>
      <c r="P214" s="339" t="e">
        <f t="shared" si="134"/>
        <v>#DIV/0!</v>
      </c>
      <c r="Q214" s="339">
        <f>N214*'MONTAJE CERR PROPIOS STE EP'!$C$18</f>
        <v>0</v>
      </c>
      <c r="S214" s="339" t="e">
        <f t="shared" si="135"/>
        <v>#DIV/0!</v>
      </c>
      <c r="T214" s="339">
        <f t="shared" si="135"/>
        <v>0</v>
      </c>
      <c r="V214" s="315"/>
      <c r="W214" s="339" t="e">
        <f t="shared" si="136"/>
        <v>#DIV/0!</v>
      </c>
      <c r="X214" s="339">
        <f t="shared" si="137"/>
        <v>0</v>
      </c>
      <c r="Y214" s="315"/>
      <c r="Z214" s="315"/>
      <c r="AA214" s="315"/>
      <c r="AB214" s="315"/>
    </row>
    <row r="215" spans="2:28" ht="15" hidden="1" thickBot="1" x14ac:dyDescent="0.4">
      <c r="B215" s="55"/>
      <c r="C215" s="535" t="s">
        <v>910</v>
      </c>
      <c r="D215" s="55" t="s">
        <v>192</v>
      </c>
      <c r="E215" s="386">
        <f>METRAJE!I86</f>
        <v>0</v>
      </c>
      <c r="F215" s="315" t="s">
        <v>414</v>
      </c>
      <c r="H215" s="526">
        <f>'PRICE LIST'!H219</f>
        <v>97.5</v>
      </c>
      <c r="I215" s="526">
        <f t="shared" si="131"/>
        <v>0</v>
      </c>
      <c r="K215" s="316" cm="1">
        <f t="array" ref="K215">_xlfn.IFS(M$2=1,'PRICE LIST'!L219,M$2=2,'PRICE LIST'!O219,$M$2=3,'PRICE LIST'!AA219,$M$2=4,H215*$H$2)</f>
        <v>162.5</v>
      </c>
      <c r="M215" s="339">
        <f t="shared" si="132"/>
        <v>0</v>
      </c>
      <c r="N215" s="376">
        <f t="shared" si="133"/>
        <v>0</v>
      </c>
      <c r="P215" s="339" t="e">
        <f t="shared" si="134"/>
        <v>#DIV/0!</v>
      </c>
      <c r="Q215" s="339">
        <f>N215*'MONTAJE CERR PROPIOS STE EP'!$C$18</f>
        <v>0</v>
      </c>
      <c r="S215" s="339" t="e">
        <f t="shared" si="135"/>
        <v>#DIV/0!</v>
      </c>
      <c r="T215" s="339">
        <f t="shared" si="135"/>
        <v>0</v>
      </c>
      <c r="V215" s="315"/>
      <c r="W215" s="339" t="e">
        <f t="shared" si="136"/>
        <v>#DIV/0!</v>
      </c>
      <c r="X215" s="339">
        <f t="shared" si="137"/>
        <v>0</v>
      </c>
      <c r="Y215" s="315"/>
      <c r="Z215" s="315"/>
      <c r="AA215" s="315"/>
      <c r="AB215" s="315"/>
    </row>
    <row r="216" spans="2:28" ht="15" hidden="1" customHeight="1" thickBot="1" x14ac:dyDescent="0.4">
      <c r="B216" s="55"/>
      <c r="C216" s="535" t="s">
        <v>911</v>
      </c>
      <c r="D216" s="55" t="s">
        <v>193</v>
      </c>
      <c r="E216" s="386">
        <f>METRAJE!I87</f>
        <v>0</v>
      </c>
      <c r="F216" s="315" t="s">
        <v>414</v>
      </c>
      <c r="H216" s="526">
        <f>'PRICE LIST'!H220</f>
        <v>63.3</v>
      </c>
      <c r="I216" s="526">
        <f t="shared" si="131"/>
        <v>0</v>
      </c>
      <c r="K216" s="316" cm="1">
        <f t="array" ref="K216">_xlfn.IFS(M$2=1,'PRICE LIST'!L220,M$2=2,'PRICE LIST'!O220,$M$2=3,'PRICE LIST'!AA220,$M$2=4,H216*$H$2)</f>
        <v>105.5</v>
      </c>
      <c r="M216" s="339">
        <f t="shared" si="132"/>
        <v>0</v>
      </c>
      <c r="N216" s="376">
        <f t="shared" si="133"/>
        <v>0</v>
      </c>
      <c r="P216" s="339" t="e">
        <f t="shared" si="134"/>
        <v>#DIV/0!</v>
      </c>
      <c r="Q216" s="339">
        <f>N216*'MONTAJE CERR PROPIOS STE EP'!$C$18</f>
        <v>0</v>
      </c>
      <c r="S216" s="339" t="e">
        <f t="shared" si="135"/>
        <v>#DIV/0!</v>
      </c>
      <c r="T216" s="339">
        <f t="shared" si="135"/>
        <v>0</v>
      </c>
      <c r="V216" s="315"/>
      <c r="W216" s="339" t="e">
        <f t="shared" si="136"/>
        <v>#DIV/0!</v>
      </c>
      <c r="X216" s="339">
        <f t="shared" si="137"/>
        <v>0</v>
      </c>
      <c r="Y216" s="315"/>
      <c r="Z216" s="315"/>
      <c r="AA216" s="315"/>
      <c r="AB216" s="315"/>
    </row>
    <row r="217" spans="2:28" ht="15" hidden="1" thickBot="1" x14ac:dyDescent="0.4">
      <c r="B217" s="55" t="s">
        <v>1001</v>
      </c>
      <c r="C217" s="535" t="s">
        <v>912</v>
      </c>
      <c r="D217" s="314" t="s">
        <v>194</v>
      </c>
      <c r="E217" s="386">
        <f>METRAJE!I85</f>
        <v>0</v>
      </c>
      <c r="F217" s="315" t="s">
        <v>414</v>
      </c>
      <c r="H217" s="526">
        <f>'PRICE LIST'!H221</f>
        <v>46.5</v>
      </c>
      <c r="I217" s="526">
        <f t="shared" si="131"/>
        <v>0</v>
      </c>
      <c r="K217" s="316" cm="1">
        <f t="array" ref="K217">_xlfn.IFS(M$2=1,'PRICE LIST'!L221,M$2=2,'PRICE LIST'!O221,$M$2=3,'PRICE LIST'!AA221,$M$2=4,H217*$H$2)</f>
        <v>77.5</v>
      </c>
      <c r="M217" s="339">
        <f t="shared" si="132"/>
        <v>0</v>
      </c>
      <c r="N217" s="376">
        <f t="shared" si="133"/>
        <v>0</v>
      </c>
      <c r="P217" s="339" t="e">
        <f t="shared" si="134"/>
        <v>#DIV/0!</v>
      </c>
      <c r="Q217" s="339">
        <f>N217*'MONTAJE CERR PROPIOS STE EP'!$C$18</f>
        <v>0</v>
      </c>
      <c r="S217" s="339" t="e">
        <f t="shared" si="135"/>
        <v>#DIV/0!</v>
      </c>
      <c r="T217" s="339">
        <f t="shared" si="135"/>
        <v>0</v>
      </c>
      <c r="V217" s="315"/>
      <c r="W217" s="339" t="e">
        <f t="shared" si="136"/>
        <v>#DIV/0!</v>
      </c>
      <c r="X217" s="339">
        <f t="shared" si="137"/>
        <v>0</v>
      </c>
      <c r="Y217" s="315"/>
      <c r="Z217" s="315"/>
      <c r="AA217" s="315"/>
      <c r="AB217" s="315"/>
    </row>
    <row r="218" spans="2:28" ht="15" hidden="1" customHeight="1" thickBot="1" x14ac:dyDescent="0.4">
      <c r="B218" s="55" t="s">
        <v>1002</v>
      </c>
      <c r="C218" s="535" t="s">
        <v>913</v>
      </c>
      <c r="D218" s="314" t="s">
        <v>435</v>
      </c>
      <c r="E218" s="385">
        <v>0</v>
      </c>
      <c r="F218" s="315" t="s">
        <v>414</v>
      </c>
      <c r="H218" s="526">
        <f>'PRICE LIST'!H222</f>
        <v>25.5</v>
      </c>
      <c r="I218" s="526">
        <f t="shared" si="131"/>
        <v>0</v>
      </c>
      <c r="K218" s="316" cm="1">
        <f t="array" ref="K218">_xlfn.IFS(M$2=1,'PRICE LIST'!L222,M$2=2,'PRICE LIST'!O222,$M$2=3,'PRICE LIST'!AA222,$M$2=4,H218*$H$2)</f>
        <v>42.5</v>
      </c>
      <c r="M218" s="339">
        <f t="shared" si="132"/>
        <v>0</v>
      </c>
      <c r="N218" s="376">
        <f t="shared" si="133"/>
        <v>0</v>
      </c>
      <c r="P218" s="339" t="e">
        <f t="shared" si="134"/>
        <v>#DIV/0!</v>
      </c>
      <c r="Q218" s="339">
        <f>N218*'MONTAJE CERR PROPIOS STE EP'!$C$18</f>
        <v>0</v>
      </c>
      <c r="S218" s="339" t="e">
        <f t="shared" si="135"/>
        <v>#DIV/0!</v>
      </c>
      <c r="T218" s="339">
        <f t="shared" si="135"/>
        <v>0</v>
      </c>
      <c r="V218" s="315"/>
      <c r="W218" s="339" t="e">
        <f t="shared" si="136"/>
        <v>#DIV/0!</v>
      </c>
      <c r="X218" s="339">
        <f t="shared" si="137"/>
        <v>0</v>
      </c>
      <c r="Y218" s="315"/>
      <c r="Z218" s="315"/>
      <c r="AA218" s="315"/>
      <c r="AB218" s="315"/>
    </row>
    <row r="219" spans="2:28" ht="15" hidden="1" thickBot="1" x14ac:dyDescent="0.4">
      <c r="B219" s="55" t="s">
        <v>1003</v>
      </c>
      <c r="C219" s="535" t="s">
        <v>914</v>
      </c>
      <c r="D219" s="314" t="s">
        <v>436</v>
      </c>
      <c r="E219" s="385">
        <v>0</v>
      </c>
      <c r="F219" s="315" t="s">
        <v>414</v>
      </c>
      <c r="H219" s="526">
        <f>'PRICE LIST'!H223</f>
        <v>512</v>
      </c>
      <c r="I219" s="526">
        <f t="shared" si="131"/>
        <v>0</v>
      </c>
      <c r="K219" s="316" cm="1">
        <f t="array" ref="K219">_xlfn.IFS(M$2=1,'PRICE LIST'!L223,M$2=2,'PRICE LIST'!O223,$M$2=3,'PRICE LIST'!AA223,$M$2=4,H219*$H$2)</f>
        <v>853.4</v>
      </c>
      <c r="M219" s="339">
        <f t="shared" si="132"/>
        <v>0</v>
      </c>
      <c r="N219" s="376">
        <f t="shared" si="133"/>
        <v>0</v>
      </c>
      <c r="P219" s="339" t="e">
        <f t="shared" si="134"/>
        <v>#DIV/0!</v>
      </c>
      <c r="Q219" s="339">
        <f>N219*'MONTAJE CERR PROPIOS STE EP'!$C$18</f>
        <v>0</v>
      </c>
      <c r="S219" s="339" t="e">
        <f t="shared" si="135"/>
        <v>#DIV/0!</v>
      </c>
      <c r="T219" s="339">
        <f t="shared" si="135"/>
        <v>0</v>
      </c>
      <c r="V219" s="315"/>
      <c r="W219" s="339" t="e">
        <f t="shared" si="136"/>
        <v>#DIV/0!</v>
      </c>
      <c r="X219" s="339">
        <f t="shared" si="137"/>
        <v>0</v>
      </c>
      <c r="Y219" s="315"/>
      <c r="Z219" s="315"/>
      <c r="AA219" s="315"/>
      <c r="AB219" s="315"/>
    </row>
    <row r="220" spans="2:28" ht="15" hidden="1" thickBot="1" x14ac:dyDescent="0.4">
      <c r="B220" s="55"/>
      <c r="C220" s="535" t="s">
        <v>915</v>
      </c>
      <c r="D220" s="314" t="s">
        <v>437</v>
      </c>
      <c r="E220" s="385">
        <v>0</v>
      </c>
      <c r="F220" s="315" t="s">
        <v>414</v>
      </c>
      <c r="H220" s="526">
        <f>'PRICE LIST'!H224</f>
        <v>775</v>
      </c>
      <c r="I220" s="526">
        <f t="shared" si="131"/>
        <v>0</v>
      </c>
      <c r="K220" s="316" cm="1">
        <f t="array" ref="K220">_xlfn.IFS(M$2=1,'PRICE LIST'!L224,M$2=2,'PRICE LIST'!O224,$M$2=3,'PRICE LIST'!AA224,$M$2=4,H220*$H$2)</f>
        <v>1291.6999999999998</v>
      </c>
      <c r="M220" s="339">
        <f t="shared" si="132"/>
        <v>0</v>
      </c>
      <c r="N220" s="376">
        <f t="shared" si="133"/>
        <v>0</v>
      </c>
      <c r="P220" s="339" t="e">
        <f t="shared" si="134"/>
        <v>#DIV/0!</v>
      </c>
      <c r="Q220" s="339">
        <f>N220*'MONTAJE CERR PROPIOS STE EP'!$C$18</f>
        <v>0</v>
      </c>
      <c r="S220" s="339" t="e">
        <f t="shared" si="135"/>
        <v>#DIV/0!</v>
      </c>
      <c r="T220" s="339">
        <f t="shared" si="135"/>
        <v>0</v>
      </c>
      <c r="V220" s="315"/>
      <c r="W220" s="339" t="e">
        <f t="shared" si="136"/>
        <v>#DIV/0!</v>
      </c>
      <c r="X220" s="339">
        <f t="shared" si="137"/>
        <v>0</v>
      </c>
      <c r="Y220" s="315"/>
      <c r="Z220" s="315"/>
      <c r="AA220" s="315"/>
      <c r="AB220" s="315"/>
    </row>
    <row r="221" spans="2:28" ht="13.5" hidden="1" customHeight="1" thickBot="1" x14ac:dyDescent="0.4">
      <c r="B221" s="55" t="s">
        <v>1004</v>
      </c>
      <c r="C221" s="535" t="s">
        <v>916</v>
      </c>
      <c r="D221" s="314" t="s">
        <v>198</v>
      </c>
      <c r="E221" s="385">
        <v>0</v>
      </c>
      <c r="F221" s="315" t="s">
        <v>414</v>
      </c>
      <c r="H221" s="526">
        <f>'PRICE LIST'!H225</f>
        <v>200</v>
      </c>
      <c r="I221" s="526">
        <f t="shared" si="131"/>
        <v>0</v>
      </c>
      <c r="K221" s="316" cm="1">
        <f t="array" ref="K221">_xlfn.IFS(M$2=1,'PRICE LIST'!L225,M$2=2,'PRICE LIST'!O225,$M$2=3,'PRICE LIST'!AA225,$M$2=4,H221*$H$2)</f>
        <v>333.40000000000003</v>
      </c>
      <c r="M221" s="339">
        <f t="shared" si="132"/>
        <v>0</v>
      </c>
      <c r="N221" s="376">
        <f t="shared" si="133"/>
        <v>0</v>
      </c>
      <c r="P221" s="339" t="e">
        <f t="shared" si="134"/>
        <v>#DIV/0!</v>
      </c>
      <c r="Q221" s="339">
        <f>N221*'MONTAJE CERR PROPIOS STE EP'!$C$18</f>
        <v>0</v>
      </c>
      <c r="S221" s="339" t="e">
        <f t="shared" si="135"/>
        <v>#DIV/0!</v>
      </c>
      <c r="T221" s="339">
        <f t="shared" si="135"/>
        <v>0</v>
      </c>
      <c r="V221" s="315"/>
      <c r="W221" s="339" t="e">
        <f t="shared" si="136"/>
        <v>#DIV/0!</v>
      </c>
      <c r="X221" s="339">
        <f t="shared" si="137"/>
        <v>0</v>
      </c>
      <c r="Y221" s="315"/>
      <c r="Z221" s="315"/>
      <c r="AA221" s="315"/>
      <c r="AB221" s="315"/>
    </row>
    <row r="222" spans="2:28" hidden="1" x14ac:dyDescent="0.25">
      <c r="M222" s="339"/>
      <c r="P222" s="339"/>
      <c r="Q222" s="339"/>
      <c r="S222" s="339"/>
      <c r="T222" s="339"/>
      <c r="V222" s="315"/>
      <c r="W222" s="339"/>
      <c r="X222" s="339"/>
      <c r="Y222" s="315"/>
      <c r="Z222" s="315"/>
      <c r="AA222" s="315"/>
      <c r="AB222" s="315"/>
    </row>
    <row r="223" spans="2:28" ht="13" hidden="1" x14ac:dyDescent="0.3">
      <c r="B223" s="352"/>
      <c r="C223" s="352"/>
      <c r="D223" s="313" t="s">
        <v>199</v>
      </c>
      <c r="E223" s="313"/>
      <c r="F223" s="332"/>
      <c r="G223" s="332"/>
      <c r="H223" s="527"/>
      <c r="I223" s="527"/>
      <c r="J223" s="334"/>
      <c r="K223" s="333"/>
      <c r="L223" s="334"/>
      <c r="M223" s="335"/>
      <c r="N223" s="333"/>
      <c r="O223" s="334"/>
      <c r="P223" s="335"/>
      <c r="Q223" s="335"/>
      <c r="R223" s="334"/>
      <c r="S223" s="335"/>
      <c r="T223" s="335"/>
      <c r="U223" s="334"/>
      <c r="V223" s="315"/>
      <c r="W223" s="335"/>
      <c r="X223" s="335"/>
      <c r="Y223" s="315"/>
      <c r="Z223" s="315"/>
      <c r="AA223" s="315"/>
      <c r="AB223" s="315"/>
    </row>
    <row r="224" spans="2:28" ht="13" hidden="1" x14ac:dyDescent="0.3">
      <c r="D224" s="327"/>
      <c r="E224" s="327"/>
      <c r="F224" s="328"/>
      <c r="G224" s="328"/>
      <c r="H224" s="326"/>
      <c r="I224" s="326"/>
      <c r="J224" s="326"/>
      <c r="K224" s="326"/>
      <c r="L224" s="326"/>
      <c r="M224" s="331"/>
      <c r="N224" s="326"/>
      <c r="O224" s="326"/>
      <c r="P224" s="331"/>
      <c r="Q224" s="331"/>
      <c r="R224" s="326"/>
      <c r="S224" s="331"/>
      <c r="T224" s="331"/>
      <c r="U224" s="326"/>
      <c r="V224" s="315"/>
      <c r="W224" s="331"/>
      <c r="X224" s="331"/>
      <c r="Y224" s="315"/>
      <c r="Z224" s="315"/>
      <c r="AA224" s="315"/>
      <c r="AB224" s="315"/>
    </row>
    <row r="225" spans="1:39" s="316" customFormat="1" ht="15" hidden="1" thickBot="1" x14ac:dyDescent="0.4">
      <c r="A225" s="314"/>
      <c r="B225" s="55" t="s">
        <v>1005</v>
      </c>
      <c r="C225" s="535" t="s">
        <v>917</v>
      </c>
      <c r="D225" s="314" t="s">
        <v>200</v>
      </c>
      <c r="E225" s="386">
        <f>METRAJE!E38</f>
        <v>0</v>
      </c>
      <c r="F225" s="315" t="s">
        <v>215</v>
      </c>
      <c r="G225" s="315"/>
      <c r="H225" s="526">
        <f>'PRICE LIST'!H229</f>
        <v>132.02000000000001</v>
      </c>
      <c r="I225" s="526">
        <f t="shared" ref="I225:I226" si="138">H225*E225</f>
        <v>0</v>
      </c>
      <c r="K225" s="316" cm="1">
        <f t="array" ref="K225">_xlfn.IFS(M$2=1,'PRICE LIST'!L229,M$2=2,'PRICE LIST'!O229,$M$2=3,'PRICE LIST'!AA229,$M$2=4,H225*$H$2)</f>
        <v>227.7</v>
      </c>
      <c r="M225" s="339">
        <f>K225*E225</f>
        <v>0</v>
      </c>
      <c r="N225" s="376">
        <f t="shared" ref="N225:N231" si="139">M225/$M$250</f>
        <v>0</v>
      </c>
      <c r="P225" s="339" t="e">
        <f t="shared" ref="P225:P231" si="140">Q225/E225</f>
        <v>#DIV/0!</v>
      </c>
      <c r="Q225" s="339">
        <f>N225*'MONTAJE CERR PROPIOS STE EP'!$C$18</f>
        <v>0</v>
      </c>
      <c r="S225" s="339" t="e">
        <f t="shared" ref="S225:T231" si="141">P225*FMONTAJE</f>
        <v>#DIV/0!</v>
      </c>
      <c r="T225" s="339">
        <f t="shared" si="141"/>
        <v>0</v>
      </c>
      <c r="V225" s="315"/>
      <c r="W225" s="339" t="e">
        <f t="shared" ref="W225:W231" si="142">K225+S225</f>
        <v>#DIV/0!</v>
      </c>
      <c r="X225" s="339">
        <f t="shared" ref="X225:X231" si="143">M225+T225</f>
        <v>0</v>
      </c>
      <c r="Y225" s="315"/>
      <c r="Z225" s="315"/>
      <c r="AA225" s="315"/>
      <c r="AB225" s="315"/>
      <c r="AC225" s="315"/>
      <c r="AD225" s="315"/>
      <c r="AE225" s="314"/>
      <c r="AF225" s="314"/>
      <c r="AG225" s="314"/>
      <c r="AH225" s="314"/>
      <c r="AI225" s="314"/>
      <c r="AJ225" s="314"/>
      <c r="AK225" s="314"/>
      <c r="AL225" s="314"/>
      <c r="AM225" s="314"/>
    </row>
    <row r="226" spans="1:39" s="316" customFormat="1" ht="38.25" hidden="1" customHeight="1" thickBot="1" x14ac:dyDescent="0.4">
      <c r="A226" s="314"/>
      <c r="B226" s="55" t="s">
        <v>1006</v>
      </c>
      <c r="C226" s="535" t="s">
        <v>918</v>
      </c>
      <c r="D226" s="314" t="s">
        <v>201</v>
      </c>
      <c r="E226" s="386">
        <f>METRAJE!E40</f>
        <v>0</v>
      </c>
      <c r="F226" s="315" t="s">
        <v>215</v>
      </c>
      <c r="G226" s="315"/>
      <c r="H226" s="526">
        <f>'PRICE LIST'!H230</f>
        <v>25</v>
      </c>
      <c r="I226" s="526">
        <f t="shared" si="138"/>
        <v>0</v>
      </c>
      <c r="K226" s="316" cm="1">
        <f t="array" ref="K226">_xlfn.IFS(M$2=1,'PRICE LIST'!L230,M$2=2,'PRICE LIST'!O230,$M$2=3,'PRICE LIST'!AA230,$M$2=4,H226*$H$2)</f>
        <v>43.2</v>
      </c>
      <c r="M226" s="339">
        <f>K226*E226</f>
        <v>0</v>
      </c>
      <c r="N226" s="376">
        <f t="shared" si="139"/>
        <v>0</v>
      </c>
      <c r="P226" s="339" t="e">
        <f t="shared" si="140"/>
        <v>#DIV/0!</v>
      </c>
      <c r="Q226" s="339">
        <f>N226*'MONTAJE CERR PROPIOS STE EP'!$C$18</f>
        <v>0</v>
      </c>
      <c r="S226" s="339" t="e">
        <f t="shared" si="141"/>
        <v>#DIV/0!</v>
      </c>
      <c r="T226" s="339">
        <f t="shared" si="141"/>
        <v>0</v>
      </c>
      <c r="V226" s="315"/>
      <c r="W226" s="339" t="e">
        <f t="shared" si="142"/>
        <v>#DIV/0!</v>
      </c>
      <c r="X226" s="339">
        <f t="shared" si="143"/>
        <v>0</v>
      </c>
      <c r="Y226" s="315"/>
      <c r="Z226" s="315"/>
      <c r="AA226" s="315"/>
      <c r="AB226" s="315"/>
      <c r="AC226" s="315"/>
      <c r="AD226" s="315"/>
      <c r="AE226" s="314"/>
      <c r="AF226" s="314"/>
      <c r="AG226" s="314"/>
      <c r="AH226" s="314"/>
      <c r="AI226" s="314"/>
      <c r="AJ226" s="314"/>
      <c r="AK226" s="314"/>
      <c r="AL226" s="314"/>
      <c r="AM226" s="314"/>
    </row>
    <row r="227" spans="1:39" s="316" customFormat="1" ht="15" hidden="1" thickBot="1" x14ac:dyDescent="0.4">
      <c r="A227" s="314"/>
      <c r="B227" s="55"/>
      <c r="C227" s="535" t="s">
        <v>919</v>
      </c>
      <c r="D227" s="314" t="s">
        <v>202</v>
      </c>
      <c r="E227" s="385">
        <v>0</v>
      </c>
      <c r="F227" s="315"/>
      <c r="G227" s="315"/>
      <c r="H227" s="526"/>
      <c r="I227" s="526"/>
      <c r="K227" s="316" cm="1">
        <f t="array" ref="K227">_xlfn.IFS(M$2=1,'PRICE LIST'!L231,M$2=2,'PRICE LIST'!O231,$M$2=3,'PRICE LIST'!AA231,$M$2=4,H227*$H$2)</f>
        <v>0</v>
      </c>
      <c r="M227" s="339"/>
      <c r="N227" s="376">
        <f t="shared" si="139"/>
        <v>0</v>
      </c>
      <c r="P227" s="339" t="e">
        <f t="shared" si="140"/>
        <v>#DIV/0!</v>
      </c>
      <c r="Q227" s="339">
        <f>N227*'MONTAJE CERR PROPIOS STE EP'!$C$18</f>
        <v>0</v>
      </c>
      <c r="S227" s="339" t="e">
        <f t="shared" si="141"/>
        <v>#DIV/0!</v>
      </c>
      <c r="T227" s="339">
        <f t="shared" si="141"/>
        <v>0</v>
      </c>
      <c r="V227" s="315"/>
      <c r="W227" s="339" t="e">
        <f t="shared" si="142"/>
        <v>#DIV/0!</v>
      </c>
      <c r="X227" s="339">
        <f t="shared" si="143"/>
        <v>0</v>
      </c>
      <c r="Y227" s="315"/>
      <c r="Z227" s="315"/>
      <c r="AA227" s="315"/>
      <c r="AB227" s="315"/>
      <c r="AC227" s="315"/>
      <c r="AD227" s="315"/>
      <c r="AE227" s="314"/>
      <c r="AF227" s="314"/>
      <c r="AG227" s="314"/>
      <c r="AH227" s="314"/>
      <c r="AI227" s="314"/>
      <c r="AJ227" s="314"/>
      <c r="AK227" s="314"/>
      <c r="AL227" s="314"/>
      <c r="AM227" s="314"/>
    </row>
    <row r="228" spans="1:39" s="316" customFormat="1" ht="15" hidden="1" thickBot="1" x14ac:dyDescent="0.4">
      <c r="A228" s="314"/>
      <c r="B228" s="55"/>
      <c r="C228" s="535" t="s">
        <v>920</v>
      </c>
      <c r="D228" s="314" t="s">
        <v>203</v>
      </c>
      <c r="E228" s="385">
        <v>0</v>
      </c>
      <c r="F228" s="315"/>
      <c r="G228" s="315"/>
      <c r="H228" s="526"/>
      <c r="I228" s="526"/>
      <c r="K228" s="316" cm="1">
        <f t="array" ref="K228">_xlfn.IFS(M$2=1,'PRICE LIST'!L232,M$2=2,'PRICE LIST'!O232,$M$2=3,'PRICE LIST'!AA232,$M$2=4,H228*$H$2)</f>
        <v>0</v>
      </c>
      <c r="M228" s="339"/>
      <c r="N228" s="376">
        <f t="shared" si="139"/>
        <v>0</v>
      </c>
      <c r="P228" s="339" t="e">
        <f t="shared" si="140"/>
        <v>#DIV/0!</v>
      </c>
      <c r="Q228" s="339">
        <f>N228*'MONTAJE CERR PROPIOS STE EP'!$C$18</f>
        <v>0</v>
      </c>
      <c r="S228" s="339" t="e">
        <f t="shared" si="141"/>
        <v>#DIV/0!</v>
      </c>
      <c r="T228" s="339">
        <f t="shared" si="141"/>
        <v>0</v>
      </c>
      <c r="V228" s="315"/>
      <c r="W228" s="339" t="e">
        <f t="shared" si="142"/>
        <v>#DIV/0!</v>
      </c>
      <c r="X228" s="339">
        <f t="shared" si="143"/>
        <v>0</v>
      </c>
      <c r="Y228" s="315"/>
      <c r="Z228" s="315"/>
      <c r="AA228" s="315"/>
      <c r="AB228" s="315"/>
      <c r="AC228" s="315"/>
      <c r="AD228" s="315"/>
      <c r="AE228" s="314"/>
      <c r="AF228" s="314"/>
      <c r="AG228" s="314"/>
      <c r="AH228" s="314"/>
      <c r="AI228" s="314"/>
      <c r="AJ228" s="314"/>
      <c r="AK228" s="314"/>
      <c r="AL228" s="314"/>
      <c r="AM228" s="314"/>
    </row>
    <row r="229" spans="1:39" s="316" customFormat="1" ht="15" hidden="1" thickBot="1" x14ac:dyDescent="0.4">
      <c r="A229" s="314"/>
      <c r="B229" s="55"/>
      <c r="C229" s="535" t="s">
        <v>921</v>
      </c>
      <c r="D229" s="314" t="s">
        <v>204</v>
      </c>
      <c r="E229" s="385">
        <v>0</v>
      </c>
      <c r="F229" s="315"/>
      <c r="G229" s="315"/>
      <c r="H229" s="526"/>
      <c r="I229" s="526"/>
      <c r="K229" s="316" cm="1">
        <f t="array" ref="K229">_xlfn.IFS(M$2=1,'PRICE LIST'!L233,M$2=2,'PRICE LIST'!O233,$M$2=3,'PRICE LIST'!AA233,$M$2=4,H229*$H$2)</f>
        <v>0</v>
      </c>
      <c r="M229" s="339"/>
      <c r="N229" s="376">
        <f t="shared" si="139"/>
        <v>0</v>
      </c>
      <c r="P229" s="339" t="e">
        <f t="shared" si="140"/>
        <v>#DIV/0!</v>
      </c>
      <c r="Q229" s="339">
        <f>N229*'MONTAJE CERR PROPIOS STE EP'!$C$18</f>
        <v>0</v>
      </c>
      <c r="S229" s="339" t="e">
        <f t="shared" si="141"/>
        <v>#DIV/0!</v>
      </c>
      <c r="T229" s="339">
        <f t="shared" si="141"/>
        <v>0</v>
      </c>
      <c r="V229" s="315"/>
      <c r="W229" s="339" t="e">
        <f t="shared" si="142"/>
        <v>#DIV/0!</v>
      </c>
      <c r="X229" s="339">
        <f t="shared" si="143"/>
        <v>0</v>
      </c>
      <c r="Y229" s="315"/>
      <c r="Z229" s="315"/>
      <c r="AA229" s="315"/>
      <c r="AB229" s="315"/>
      <c r="AC229" s="315"/>
      <c r="AD229" s="315"/>
      <c r="AE229" s="314"/>
      <c r="AF229" s="314"/>
      <c r="AG229" s="314"/>
      <c r="AH229" s="314"/>
      <c r="AI229" s="314"/>
      <c r="AJ229" s="314"/>
      <c r="AK229" s="314"/>
      <c r="AL229" s="314"/>
      <c r="AM229" s="314"/>
    </row>
    <row r="230" spans="1:39" s="316" customFormat="1" ht="15" hidden="1" thickBot="1" x14ac:dyDescent="0.4">
      <c r="A230" s="314"/>
      <c r="B230" s="55"/>
      <c r="C230" s="535"/>
      <c r="D230" s="314" t="s">
        <v>1017</v>
      </c>
      <c r="E230" s="385">
        <v>0</v>
      </c>
      <c r="F230" s="315" t="s">
        <v>414</v>
      </c>
      <c r="G230" s="315"/>
      <c r="H230" s="526">
        <f>'PRICE LIST'!H234</f>
        <v>324</v>
      </c>
      <c r="I230" s="526">
        <f t="shared" ref="I230:I231" si="144">H230*E230</f>
        <v>0</v>
      </c>
      <c r="K230" s="316" cm="1">
        <f t="array" ref="K230">_xlfn.IFS(M$2=1,'PRICE LIST'!L234,M$2=2,'PRICE LIST'!O234,$M$2=3,'PRICE LIST'!AA234,$M$2=4,H230*$H$2)</f>
        <v>540</v>
      </c>
      <c r="M230" s="339">
        <f>K230*E230</f>
        <v>0</v>
      </c>
      <c r="N230" s="376">
        <f t="shared" si="139"/>
        <v>0</v>
      </c>
      <c r="P230" s="339" t="e">
        <f t="shared" si="140"/>
        <v>#DIV/0!</v>
      </c>
      <c r="Q230" s="339">
        <f>N230*'MONTAJE CERR PROPIOS STE EP'!$C$18</f>
        <v>0</v>
      </c>
      <c r="S230" s="339" t="e">
        <f t="shared" si="141"/>
        <v>#DIV/0!</v>
      </c>
      <c r="T230" s="339">
        <f t="shared" si="141"/>
        <v>0</v>
      </c>
      <c r="V230" s="315"/>
      <c r="W230" s="339" t="e">
        <f t="shared" si="142"/>
        <v>#DIV/0!</v>
      </c>
      <c r="X230" s="339">
        <f t="shared" si="143"/>
        <v>0</v>
      </c>
      <c r="Y230" s="315"/>
      <c r="Z230" s="315"/>
      <c r="AA230" s="315"/>
      <c r="AB230" s="315"/>
      <c r="AC230" s="315"/>
      <c r="AD230" s="315"/>
      <c r="AE230" s="314"/>
      <c r="AF230" s="314"/>
      <c r="AG230" s="314"/>
      <c r="AH230" s="314"/>
      <c r="AI230" s="314"/>
      <c r="AJ230" s="314"/>
      <c r="AK230" s="314"/>
      <c r="AL230" s="314"/>
      <c r="AM230" s="314"/>
    </row>
    <row r="231" spans="1:39" s="316" customFormat="1" ht="15" hidden="1" thickBot="1" x14ac:dyDescent="0.4">
      <c r="A231" s="314"/>
      <c r="B231" s="55" t="s">
        <v>1007</v>
      </c>
      <c r="C231" s="535" t="s">
        <v>922</v>
      </c>
      <c r="D231" s="314" t="s">
        <v>205</v>
      </c>
      <c r="E231" s="386">
        <f>METRAJE!E39</f>
        <v>0</v>
      </c>
      <c r="F231" s="315" t="s">
        <v>414</v>
      </c>
      <c r="G231" s="315"/>
      <c r="H231" s="526">
        <f>'PRICE LIST'!H235</f>
        <v>59.15</v>
      </c>
      <c r="I231" s="526">
        <f t="shared" si="144"/>
        <v>0</v>
      </c>
      <c r="K231" s="316" cm="1">
        <f t="array" ref="K231">_xlfn.IFS(M$2=1,'PRICE LIST'!L235,M$2=2,'PRICE LIST'!O235,$M$2=3,'PRICE LIST'!AA235,$M$2=4,H231*$H$2)</f>
        <v>98.6</v>
      </c>
      <c r="M231" s="339">
        <f>K231*E231</f>
        <v>0</v>
      </c>
      <c r="N231" s="376">
        <f t="shared" si="139"/>
        <v>0</v>
      </c>
      <c r="P231" s="339" t="e">
        <f t="shared" si="140"/>
        <v>#DIV/0!</v>
      </c>
      <c r="Q231" s="339">
        <f>N231*'MONTAJE CERR PROPIOS STE EP'!$C$18</f>
        <v>0</v>
      </c>
      <c r="S231" s="339" t="e">
        <f t="shared" si="141"/>
        <v>#DIV/0!</v>
      </c>
      <c r="T231" s="339">
        <f t="shared" si="141"/>
        <v>0</v>
      </c>
      <c r="V231" s="315"/>
      <c r="W231" s="339" t="e">
        <f t="shared" si="142"/>
        <v>#DIV/0!</v>
      </c>
      <c r="X231" s="339">
        <f t="shared" si="143"/>
        <v>0</v>
      </c>
      <c r="Y231" s="315"/>
      <c r="Z231" s="315"/>
      <c r="AA231" s="315"/>
      <c r="AB231" s="315"/>
      <c r="AC231" s="315"/>
      <c r="AD231" s="315"/>
      <c r="AE231" s="314"/>
      <c r="AF231" s="314"/>
      <c r="AG231" s="314"/>
      <c r="AH231" s="314"/>
      <c r="AI231" s="314"/>
      <c r="AJ231" s="314"/>
      <c r="AK231" s="314"/>
      <c r="AL231" s="314"/>
      <c r="AM231" s="314"/>
    </row>
    <row r="232" spans="1:39" s="316" customFormat="1" hidden="1" x14ac:dyDescent="0.25">
      <c r="A232" s="314"/>
      <c r="B232" s="314"/>
      <c r="C232" s="314"/>
      <c r="D232" s="314"/>
      <c r="E232" s="314"/>
      <c r="F232" s="315"/>
      <c r="G232" s="315"/>
      <c r="H232" s="526"/>
      <c r="I232" s="526"/>
      <c r="M232" s="339"/>
      <c r="P232" s="339"/>
      <c r="Q232" s="339"/>
      <c r="S232" s="339"/>
      <c r="T232" s="339"/>
      <c r="V232" s="315"/>
      <c r="W232" s="339"/>
      <c r="X232" s="339"/>
      <c r="Y232" s="315"/>
      <c r="Z232" s="315"/>
      <c r="AA232" s="315"/>
      <c r="AB232" s="315"/>
      <c r="AC232" s="315"/>
      <c r="AD232" s="315"/>
      <c r="AE232" s="314"/>
      <c r="AF232" s="314"/>
      <c r="AG232" s="314"/>
      <c r="AH232" s="314"/>
      <c r="AI232" s="314"/>
      <c r="AJ232" s="314"/>
      <c r="AK232" s="314"/>
      <c r="AL232" s="314"/>
      <c r="AM232" s="314"/>
    </row>
    <row r="233" spans="1:39" s="316" customFormat="1" ht="13" hidden="1" x14ac:dyDescent="0.3">
      <c r="A233" s="314"/>
      <c r="B233" s="352"/>
      <c r="C233" s="352"/>
      <c r="D233" s="313" t="s">
        <v>206</v>
      </c>
      <c r="E233" s="313"/>
      <c r="F233" s="332"/>
      <c r="G233" s="332"/>
      <c r="H233" s="527"/>
      <c r="I233" s="527"/>
      <c r="J233" s="334"/>
      <c r="K233" s="333"/>
      <c r="L233" s="334"/>
      <c r="M233" s="335"/>
      <c r="N233" s="333"/>
      <c r="O233" s="334"/>
      <c r="P233" s="335"/>
      <c r="Q233" s="335"/>
      <c r="R233" s="334"/>
      <c r="S233" s="335"/>
      <c r="T233" s="335"/>
      <c r="U233" s="334"/>
      <c r="V233" s="315"/>
      <c r="W233" s="335"/>
      <c r="X233" s="335"/>
      <c r="Y233" s="315"/>
      <c r="Z233" s="315"/>
      <c r="AA233" s="315"/>
      <c r="AB233" s="315"/>
      <c r="AC233" s="315"/>
      <c r="AD233" s="315"/>
      <c r="AE233" s="314"/>
      <c r="AF233" s="314"/>
      <c r="AG233" s="314"/>
      <c r="AH233" s="314"/>
      <c r="AI233" s="314"/>
      <c r="AJ233" s="314"/>
      <c r="AK233" s="314"/>
      <c r="AL233" s="314"/>
      <c r="AM233" s="314"/>
    </row>
    <row r="234" spans="1:39" s="316" customFormat="1" ht="13" hidden="1" x14ac:dyDescent="0.3">
      <c r="A234" s="314"/>
      <c r="B234" s="314"/>
      <c r="C234" s="314"/>
      <c r="D234" s="327"/>
      <c r="E234" s="327"/>
      <c r="F234" s="328"/>
      <c r="G234" s="328"/>
      <c r="H234" s="326"/>
      <c r="I234" s="326"/>
      <c r="J234" s="326"/>
      <c r="K234" s="326"/>
      <c r="L234" s="326"/>
      <c r="M234" s="331"/>
      <c r="N234" s="326"/>
      <c r="O234" s="326"/>
      <c r="P234" s="331"/>
      <c r="Q234" s="331"/>
      <c r="R234" s="326"/>
      <c r="S234" s="331"/>
      <c r="T234" s="331"/>
      <c r="U234" s="326"/>
      <c r="V234" s="315"/>
      <c r="W234" s="331"/>
      <c r="X234" s="331"/>
      <c r="Y234" s="315"/>
      <c r="Z234" s="315"/>
      <c r="AA234" s="315"/>
      <c r="AB234" s="315"/>
      <c r="AC234" s="315"/>
      <c r="AD234" s="315"/>
      <c r="AE234" s="314"/>
      <c r="AF234" s="314"/>
      <c r="AG234" s="314"/>
      <c r="AH234" s="314"/>
      <c r="AI234" s="314"/>
      <c r="AJ234" s="314"/>
      <c r="AK234" s="314"/>
      <c r="AL234" s="314"/>
      <c r="AM234" s="314"/>
    </row>
    <row r="235" spans="1:39" s="316" customFormat="1" ht="15" hidden="1" thickBot="1" x14ac:dyDescent="0.4">
      <c r="A235" s="314"/>
      <c r="B235" s="55" t="s">
        <v>1008</v>
      </c>
      <c r="C235" s="535" t="s">
        <v>923</v>
      </c>
      <c r="D235" s="314" t="s">
        <v>438</v>
      </c>
      <c r="E235" s="385">
        <v>0</v>
      </c>
      <c r="F235" s="315" t="s">
        <v>215</v>
      </c>
      <c r="G235" s="315"/>
      <c r="H235" s="526">
        <f>'PRICE LIST'!H239</f>
        <v>80.5</v>
      </c>
      <c r="I235" s="526">
        <f>H235*E235</f>
        <v>0</v>
      </c>
      <c r="J235" s="348"/>
      <c r="K235" s="316" cm="1">
        <f t="array" ref="K235">_xlfn.IFS(M$2=1,'PRICE LIST'!L239,M$2=2,'PRICE LIST'!O239,$M$2=3,'PRICE LIST'!AA239,$M$2=4,H235*$H$2)</f>
        <v>134.19999999999999</v>
      </c>
      <c r="M235" s="339">
        <f>K235*E235</f>
        <v>0</v>
      </c>
      <c r="N235" s="376">
        <f>M235/$M$250</f>
        <v>0</v>
      </c>
      <c r="P235" s="339" t="e">
        <f>Q235/E235</f>
        <v>#DIV/0!</v>
      </c>
      <c r="Q235" s="339">
        <f>N235*'MONTAJE CERR PROPIOS STE EP'!$C$18</f>
        <v>0</v>
      </c>
      <c r="S235" s="339" t="e">
        <f>P235*FMONTAJE</f>
        <v>#DIV/0!</v>
      </c>
      <c r="T235" s="339">
        <f>Q235*FMONTAJE</f>
        <v>0</v>
      </c>
      <c r="V235" s="315"/>
      <c r="W235" s="339" t="e">
        <f>K235+S235</f>
        <v>#DIV/0!</v>
      </c>
      <c r="X235" s="339">
        <f t="shared" ref="X235:X236" si="145">M235+T235</f>
        <v>0</v>
      </c>
      <c r="Y235" s="315"/>
      <c r="Z235" s="315"/>
      <c r="AA235" s="315"/>
      <c r="AB235" s="315"/>
      <c r="AC235" s="315"/>
      <c r="AD235" s="315"/>
      <c r="AE235" s="314"/>
      <c r="AF235" s="314"/>
      <c r="AG235" s="314"/>
      <c r="AH235" s="314"/>
      <c r="AI235" s="314"/>
      <c r="AJ235" s="314"/>
      <c r="AK235" s="314"/>
      <c r="AL235" s="314"/>
      <c r="AM235" s="314"/>
    </row>
    <row r="236" spans="1:39" s="316" customFormat="1" ht="15" hidden="1" thickBot="1" x14ac:dyDescent="0.4">
      <c r="A236" s="314"/>
      <c r="B236" s="55" t="s">
        <v>1009</v>
      </c>
      <c r="C236" s="535" t="s">
        <v>924</v>
      </c>
      <c r="D236" s="314" t="s">
        <v>439</v>
      </c>
      <c r="E236" s="386">
        <f>METRAJE!E34</f>
        <v>0</v>
      </c>
      <c r="F236" s="315" t="s">
        <v>215</v>
      </c>
      <c r="G236" s="315"/>
      <c r="H236" s="526">
        <f>'PRICE LIST'!H240</f>
        <v>148</v>
      </c>
      <c r="I236" s="526">
        <f>H236*E236</f>
        <v>0</v>
      </c>
      <c r="J236" s="348"/>
      <c r="K236" s="316" cm="1">
        <f t="array" ref="K236">_xlfn.IFS(M$2=1,'PRICE LIST'!L240,M$2=2,'PRICE LIST'!O240,$M$2=3,'PRICE LIST'!AA240,$M$2=4,H236*$H$2)</f>
        <v>246.7</v>
      </c>
      <c r="M236" s="339">
        <f>K236*E236</f>
        <v>0</v>
      </c>
      <c r="N236" s="376">
        <f>M236/$M$250</f>
        <v>0</v>
      </c>
      <c r="P236" s="339" t="e">
        <f>Q236/E236</f>
        <v>#DIV/0!</v>
      </c>
      <c r="Q236" s="339">
        <f>N236*'MONTAJE CERR PROPIOS STE EP'!$C$18</f>
        <v>0</v>
      </c>
      <c r="S236" s="339" t="e">
        <f>P236*FMONTAJE</f>
        <v>#DIV/0!</v>
      </c>
      <c r="T236" s="339">
        <f>Q236*FMONTAJE</f>
        <v>0</v>
      </c>
      <c r="V236" s="315"/>
      <c r="W236" s="339" t="e">
        <f t="shared" ref="W236" si="146">K236+S236</f>
        <v>#DIV/0!</v>
      </c>
      <c r="X236" s="339">
        <f t="shared" si="145"/>
        <v>0</v>
      </c>
      <c r="Y236" s="315"/>
      <c r="Z236" s="315"/>
      <c r="AA236" s="315"/>
      <c r="AB236" s="315"/>
      <c r="AC236" s="315"/>
      <c r="AD236" s="315"/>
      <c r="AE236" s="314"/>
      <c r="AF236" s="314"/>
      <c r="AG236" s="314"/>
      <c r="AH236" s="314"/>
      <c r="AI236" s="314"/>
      <c r="AJ236" s="314"/>
      <c r="AK236" s="314"/>
      <c r="AL236" s="314"/>
      <c r="AM236" s="314"/>
    </row>
    <row r="237" spans="1:39" s="316" customFormat="1" hidden="1" x14ac:dyDescent="0.25">
      <c r="A237" s="314"/>
      <c r="B237" s="314"/>
      <c r="C237" s="314"/>
      <c r="D237" s="314"/>
      <c r="E237" s="314"/>
      <c r="F237" s="315"/>
      <c r="G237" s="315"/>
      <c r="H237" s="530"/>
      <c r="I237" s="530"/>
      <c r="J237" s="348"/>
      <c r="M237" s="339"/>
      <c r="P237" s="353"/>
      <c r="Q237" s="353"/>
      <c r="R237" s="348"/>
      <c r="S237" s="353"/>
      <c r="T237" s="353"/>
      <c r="V237" s="315"/>
      <c r="W237" s="353"/>
      <c r="X237" s="353"/>
      <c r="Y237" s="315"/>
      <c r="Z237" s="315"/>
      <c r="AA237" s="315"/>
      <c r="AB237" s="315"/>
      <c r="AC237" s="315"/>
      <c r="AD237" s="315"/>
      <c r="AE237" s="314"/>
      <c r="AF237" s="314"/>
      <c r="AG237" s="314"/>
      <c r="AH237" s="314"/>
      <c r="AI237" s="314"/>
      <c r="AJ237" s="314"/>
      <c r="AK237" s="314"/>
      <c r="AL237" s="314"/>
      <c r="AM237" s="314"/>
    </row>
    <row r="238" spans="1:39" s="316" customFormat="1" ht="13" hidden="1" x14ac:dyDescent="0.3">
      <c r="A238" s="314"/>
      <c r="B238" s="352"/>
      <c r="C238" s="352"/>
      <c r="D238" s="313" t="s">
        <v>209</v>
      </c>
      <c r="E238" s="313"/>
      <c r="F238" s="332"/>
      <c r="G238" s="332"/>
      <c r="H238" s="527"/>
      <c r="I238" s="527"/>
      <c r="J238" s="334"/>
      <c r="K238" s="333"/>
      <c r="L238" s="334"/>
      <c r="M238" s="335"/>
      <c r="N238" s="333"/>
      <c r="O238" s="334"/>
      <c r="P238" s="335"/>
      <c r="Q238" s="335"/>
      <c r="R238" s="334"/>
      <c r="S238" s="335"/>
      <c r="T238" s="335"/>
      <c r="U238" s="334"/>
      <c r="V238" s="315"/>
      <c r="W238" s="335"/>
      <c r="X238" s="335"/>
      <c r="Y238" s="315"/>
      <c r="Z238" s="315"/>
      <c r="AA238" s="315"/>
      <c r="AB238" s="314"/>
      <c r="AC238" s="315"/>
      <c r="AD238" s="315"/>
      <c r="AE238" s="314"/>
      <c r="AF238" s="314"/>
      <c r="AG238" s="314"/>
      <c r="AH238" s="314"/>
      <c r="AI238" s="314"/>
      <c r="AJ238" s="314"/>
      <c r="AK238" s="314"/>
      <c r="AL238" s="314"/>
      <c r="AM238" s="314"/>
    </row>
    <row r="239" spans="1:39" s="316" customFormat="1" ht="15" hidden="1" thickBot="1" x14ac:dyDescent="0.4">
      <c r="A239" s="314"/>
      <c r="B239" s="55" t="s">
        <v>210</v>
      </c>
      <c r="C239" s="535" t="s">
        <v>210</v>
      </c>
      <c r="D239" s="314" t="s">
        <v>440</v>
      </c>
      <c r="E239" s="385">
        <v>0</v>
      </c>
      <c r="F239" s="315"/>
      <c r="G239" s="315"/>
      <c r="H239" s="526">
        <f>'PRICE LIST'!H243</f>
        <v>0</v>
      </c>
      <c r="I239" s="526">
        <f t="shared" ref="I239:I246" si="147">H239*E239</f>
        <v>0</v>
      </c>
      <c r="K239" s="316" cm="1">
        <f t="array" ref="K239">_xlfn.IFS(M$2=1,'PRICE LIST'!L243,M$2=2,'PRICE LIST'!O243,$M$2=3,'PRICE LIST'!AA243,$M$2=4,H239*$H$2)</f>
        <v>0</v>
      </c>
      <c r="M239" s="339">
        <f t="shared" ref="M239:M246" si="148">K239*E239</f>
        <v>0</v>
      </c>
      <c r="N239" s="376">
        <f t="shared" ref="N239:N246" si="149">M239/$M$250</f>
        <v>0</v>
      </c>
      <c r="P239" s="339" t="e">
        <f t="shared" ref="P239:P246" si="150">Q239/E239</f>
        <v>#DIV/0!</v>
      </c>
      <c r="Q239" s="339">
        <f>N239*'MONTAJE CERR PROPIOS STE EP'!$C$18</f>
        <v>0</v>
      </c>
      <c r="S239" s="339" t="e">
        <f t="shared" ref="S239:T242" si="151">P239*FMONTAJE</f>
        <v>#DIV/0!</v>
      </c>
      <c r="T239" s="339">
        <f t="shared" si="151"/>
        <v>0</v>
      </c>
      <c r="V239" s="315"/>
      <c r="W239" s="339" t="e">
        <f t="shared" ref="W239:W242" si="152">K239+S239</f>
        <v>#DIV/0!</v>
      </c>
      <c r="X239" s="339">
        <f t="shared" ref="X239:X242" si="153">M239+T239</f>
        <v>0</v>
      </c>
      <c r="Y239" s="315"/>
      <c r="Z239" s="315"/>
      <c r="AA239" s="315"/>
      <c r="AB239" s="314"/>
      <c r="AC239" s="315"/>
      <c r="AD239" s="315"/>
      <c r="AE239" s="314"/>
      <c r="AF239" s="314"/>
      <c r="AG239" s="314"/>
      <c r="AH239" s="314"/>
      <c r="AI239" s="314"/>
      <c r="AJ239" s="314"/>
      <c r="AK239" s="314"/>
      <c r="AL239" s="314"/>
      <c r="AM239" s="314"/>
    </row>
    <row r="240" spans="1:39" s="316" customFormat="1" ht="15" hidden="1" thickBot="1" x14ac:dyDescent="0.4">
      <c r="A240" s="314"/>
      <c r="B240" s="55" t="s">
        <v>210</v>
      </c>
      <c r="C240" s="535" t="s">
        <v>210</v>
      </c>
      <c r="D240" s="314" t="s">
        <v>440</v>
      </c>
      <c r="E240" s="385">
        <v>0</v>
      </c>
      <c r="F240" s="315"/>
      <c r="G240" s="315"/>
      <c r="H240" s="526">
        <f>'PRICE LIST'!H244</f>
        <v>0</v>
      </c>
      <c r="I240" s="526">
        <f t="shared" si="147"/>
        <v>0</v>
      </c>
      <c r="K240" s="316" cm="1">
        <f t="array" ref="K240">_xlfn.IFS(M$2=1,'PRICE LIST'!L244,M$2=2,'PRICE LIST'!O244,$M$2=3,'PRICE LIST'!AA244,$M$2=4,H240*$H$2)</f>
        <v>0</v>
      </c>
      <c r="M240" s="339">
        <f t="shared" si="148"/>
        <v>0</v>
      </c>
      <c r="N240" s="376">
        <f t="shared" si="149"/>
        <v>0</v>
      </c>
      <c r="P240" s="339" t="e">
        <f t="shared" si="150"/>
        <v>#DIV/0!</v>
      </c>
      <c r="Q240" s="339">
        <f>N240*'MONTAJE CERR PROPIOS STE EP'!$C$18</f>
        <v>0</v>
      </c>
      <c r="S240" s="339" t="e">
        <f t="shared" si="151"/>
        <v>#DIV/0!</v>
      </c>
      <c r="T240" s="339">
        <f t="shared" si="151"/>
        <v>0</v>
      </c>
      <c r="V240" s="315"/>
      <c r="W240" s="339" t="e">
        <f t="shared" si="152"/>
        <v>#DIV/0!</v>
      </c>
      <c r="X240" s="339">
        <f t="shared" si="153"/>
        <v>0</v>
      </c>
      <c r="Y240" s="315"/>
      <c r="Z240" s="315"/>
      <c r="AA240" s="315"/>
      <c r="AB240" s="314"/>
      <c r="AC240" s="315"/>
      <c r="AD240" s="315"/>
      <c r="AE240" s="314"/>
      <c r="AF240" s="314"/>
      <c r="AG240" s="314"/>
      <c r="AH240" s="314"/>
      <c r="AI240" s="314"/>
      <c r="AJ240" s="314"/>
      <c r="AK240" s="314"/>
      <c r="AL240" s="314"/>
      <c r="AM240" s="314"/>
    </row>
    <row r="241" spans="1:39" s="316" customFormat="1" ht="15" hidden="1" thickBot="1" x14ac:dyDescent="0.4">
      <c r="A241" s="314"/>
      <c r="B241" s="55" t="s">
        <v>210</v>
      </c>
      <c r="C241" s="535" t="s">
        <v>210</v>
      </c>
      <c r="D241" s="314" t="s">
        <v>440</v>
      </c>
      <c r="E241" s="385">
        <v>0</v>
      </c>
      <c r="F241" s="315"/>
      <c r="G241" s="315"/>
      <c r="H241" s="526">
        <f>'PRICE LIST'!H245</f>
        <v>0</v>
      </c>
      <c r="I241" s="526">
        <f t="shared" si="147"/>
        <v>0</v>
      </c>
      <c r="K241" s="316" cm="1">
        <f t="array" ref="K241">_xlfn.IFS(M$2=1,'PRICE LIST'!L245,M$2=2,'PRICE LIST'!O245,$M$2=3,'PRICE LIST'!AA245,$M$2=4,H241*$H$2)</f>
        <v>0</v>
      </c>
      <c r="M241" s="339">
        <f t="shared" si="148"/>
        <v>0</v>
      </c>
      <c r="N241" s="376">
        <f t="shared" si="149"/>
        <v>0</v>
      </c>
      <c r="P241" s="339" t="e">
        <f t="shared" si="150"/>
        <v>#DIV/0!</v>
      </c>
      <c r="Q241" s="339">
        <f>N241*'MONTAJE CERR PROPIOS STE EP'!$C$18</f>
        <v>0</v>
      </c>
      <c r="S241" s="339" t="e">
        <f t="shared" si="151"/>
        <v>#DIV/0!</v>
      </c>
      <c r="T241" s="339">
        <f t="shared" si="151"/>
        <v>0</v>
      </c>
      <c r="V241" s="315"/>
      <c r="W241" s="339" t="e">
        <f t="shared" si="152"/>
        <v>#DIV/0!</v>
      </c>
      <c r="X241" s="339">
        <f t="shared" si="153"/>
        <v>0</v>
      </c>
      <c r="Y241" s="315"/>
      <c r="Z241" s="315"/>
      <c r="AA241" s="315"/>
      <c r="AB241" s="314"/>
      <c r="AC241" s="315"/>
      <c r="AD241" s="315"/>
      <c r="AE241" s="314"/>
      <c r="AF241" s="314"/>
      <c r="AG241" s="314"/>
      <c r="AH241" s="314"/>
      <c r="AI241" s="314"/>
      <c r="AJ241" s="314"/>
      <c r="AK241" s="314"/>
      <c r="AL241" s="314"/>
      <c r="AM241" s="314"/>
    </row>
    <row r="242" spans="1:39" s="316" customFormat="1" ht="15" hidden="1" thickBot="1" x14ac:dyDescent="0.4">
      <c r="A242" s="314"/>
      <c r="B242" s="55" t="s">
        <v>210</v>
      </c>
      <c r="C242" s="535" t="s">
        <v>210</v>
      </c>
      <c r="D242" s="314" t="s">
        <v>440</v>
      </c>
      <c r="E242" s="385">
        <v>0</v>
      </c>
      <c r="F242" s="315"/>
      <c r="G242" s="315"/>
      <c r="H242" s="526">
        <f>'PRICE LIST'!H246</f>
        <v>0</v>
      </c>
      <c r="I242" s="526">
        <f t="shared" si="147"/>
        <v>0</v>
      </c>
      <c r="K242" s="316" cm="1">
        <f t="array" ref="K242">_xlfn.IFS(M$2=1,'PRICE LIST'!L246,M$2=2,'PRICE LIST'!O246,$M$2=3,'PRICE LIST'!AA246,$M$2=4,H242*$H$2)</f>
        <v>0</v>
      </c>
      <c r="M242" s="339">
        <f t="shared" si="148"/>
        <v>0</v>
      </c>
      <c r="N242" s="376">
        <f t="shared" si="149"/>
        <v>0</v>
      </c>
      <c r="P242" s="339" t="e">
        <f t="shared" si="150"/>
        <v>#DIV/0!</v>
      </c>
      <c r="Q242" s="339">
        <f>N242*'MONTAJE CERR PROPIOS STE EP'!$C$18</f>
        <v>0</v>
      </c>
      <c r="S242" s="339" t="e">
        <f t="shared" si="151"/>
        <v>#DIV/0!</v>
      </c>
      <c r="T242" s="339">
        <f t="shared" si="151"/>
        <v>0</v>
      </c>
      <c r="V242" s="315"/>
      <c r="W242" s="339" t="e">
        <f t="shared" si="152"/>
        <v>#DIV/0!</v>
      </c>
      <c r="X242" s="339">
        <f t="shared" si="153"/>
        <v>0</v>
      </c>
      <c r="Y242" s="315"/>
      <c r="Z242" s="315"/>
      <c r="AA242" s="315"/>
      <c r="AB242" s="314"/>
      <c r="AC242" s="315"/>
      <c r="AD242" s="315"/>
      <c r="AE242" s="314"/>
      <c r="AF242" s="314"/>
      <c r="AG242" s="314"/>
      <c r="AH242" s="314"/>
      <c r="AI242" s="314"/>
      <c r="AJ242" s="314"/>
      <c r="AK242" s="314"/>
      <c r="AL242" s="314"/>
      <c r="AM242" s="314"/>
    </row>
    <row r="243" spans="1:39" s="316" customFormat="1" ht="15" hidden="1" thickBot="1" x14ac:dyDescent="0.4">
      <c r="A243" s="314"/>
      <c r="B243" s="55" t="s">
        <v>210</v>
      </c>
      <c r="C243" s="535" t="s">
        <v>210</v>
      </c>
      <c r="D243" s="314" t="s">
        <v>440</v>
      </c>
      <c r="E243" s="385">
        <v>0</v>
      </c>
      <c r="F243" s="315"/>
      <c r="G243" s="315"/>
      <c r="H243" s="526">
        <f>'PRICE LIST'!H247</f>
        <v>0</v>
      </c>
      <c r="I243" s="526">
        <f t="shared" si="147"/>
        <v>0</v>
      </c>
      <c r="K243" s="316" cm="1">
        <f t="array" ref="K243">_xlfn.IFS(M$2=1,'PRICE LIST'!L247,M$2=2,'PRICE LIST'!O247,$M$2=3,'PRICE LIST'!AA247,$M$2=4,H243*$H$2)</f>
        <v>0</v>
      </c>
      <c r="M243" s="339">
        <f t="shared" si="148"/>
        <v>0</v>
      </c>
      <c r="N243" s="376">
        <f t="shared" si="149"/>
        <v>0</v>
      </c>
      <c r="P243" s="339" t="e">
        <f t="shared" si="150"/>
        <v>#DIV/0!</v>
      </c>
      <c r="Q243" s="339">
        <f>N243*'MONTAJE CERR PROPIOS STE EP'!$C$18</f>
        <v>0</v>
      </c>
      <c r="S243" s="339" t="e">
        <f t="shared" ref="S243:S246" si="154">P243*FMONTAJE</f>
        <v>#DIV/0!</v>
      </c>
      <c r="T243" s="339">
        <f t="shared" ref="T243:T246" si="155">Q243*FMONTAJE</f>
        <v>0</v>
      </c>
      <c r="V243" s="315"/>
      <c r="W243" s="339" t="e">
        <f t="shared" ref="W243:W246" si="156">K243+S243</f>
        <v>#DIV/0!</v>
      </c>
      <c r="X243" s="339">
        <f t="shared" ref="X243:X246" si="157">M243+T243</f>
        <v>0</v>
      </c>
      <c r="Y243" s="315"/>
      <c r="Z243" s="315"/>
      <c r="AA243" s="315"/>
      <c r="AB243" s="314"/>
      <c r="AC243" s="315"/>
      <c r="AD243" s="315"/>
      <c r="AE243" s="314"/>
      <c r="AF243" s="314"/>
      <c r="AG243" s="314"/>
      <c r="AH243" s="314"/>
      <c r="AI243" s="314"/>
      <c r="AJ243" s="314"/>
      <c r="AK243" s="314"/>
      <c r="AL243" s="314"/>
      <c r="AM243" s="314"/>
    </row>
    <row r="244" spans="1:39" s="316" customFormat="1" ht="15" hidden="1" thickBot="1" x14ac:dyDescent="0.4">
      <c r="A244" s="314"/>
      <c r="B244" s="55" t="s">
        <v>210</v>
      </c>
      <c r="C244" s="535" t="s">
        <v>210</v>
      </c>
      <c r="D244" s="314" t="s">
        <v>440</v>
      </c>
      <c r="E244" s="385">
        <v>0</v>
      </c>
      <c r="F244" s="315"/>
      <c r="G244" s="315"/>
      <c r="H244" s="526">
        <f>'PRICE LIST'!H248</f>
        <v>0</v>
      </c>
      <c r="I244" s="526">
        <f t="shared" si="147"/>
        <v>0</v>
      </c>
      <c r="K244" s="316" cm="1">
        <f t="array" ref="K244">_xlfn.IFS(M$2=1,'PRICE LIST'!L248,M$2=2,'PRICE LIST'!O248,$M$2=3,'PRICE LIST'!AA248,$M$2=4,H244*$H$2)</f>
        <v>0</v>
      </c>
      <c r="M244" s="339">
        <f t="shared" si="148"/>
        <v>0</v>
      </c>
      <c r="N244" s="376">
        <f t="shared" si="149"/>
        <v>0</v>
      </c>
      <c r="P244" s="339" t="e">
        <f t="shared" si="150"/>
        <v>#DIV/0!</v>
      </c>
      <c r="Q244" s="339">
        <f>N244*'MONTAJE CERR PROPIOS STE EP'!$C$18</f>
        <v>0</v>
      </c>
      <c r="S244" s="339" t="e">
        <f t="shared" si="154"/>
        <v>#DIV/0!</v>
      </c>
      <c r="T244" s="339">
        <f t="shared" si="155"/>
        <v>0</v>
      </c>
      <c r="V244" s="315"/>
      <c r="W244" s="339" t="e">
        <f t="shared" si="156"/>
        <v>#DIV/0!</v>
      </c>
      <c r="X244" s="339">
        <f t="shared" si="157"/>
        <v>0</v>
      </c>
      <c r="Y244" s="315"/>
      <c r="Z244" s="315"/>
      <c r="AA244" s="315"/>
      <c r="AB244" s="314"/>
      <c r="AC244" s="315"/>
      <c r="AD244" s="315"/>
      <c r="AE244" s="314"/>
      <c r="AF244" s="314"/>
      <c r="AG244" s="314"/>
      <c r="AH244" s="314"/>
      <c r="AI244" s="314"/>
      <c r="AJ244" s="314"/>
      <c r="AK244" s="314"/>
      <c r="AL244" s="314"/>
      <c r="AM244" s="314"/>
    </row>
    <row r="245" spans="1:39" s="316" customFormat="1" ht="15" hidden="1" thickBot="1" x14ac:dyDescent="0.4">
      <c r="A245" s="314"/>
      <c r="B245" s="55" t="s">
        <v>210</v>
      </c>
      <c r="C245" s="535" t="s">
        <v>210</v>
      </c>
      <c r="D245" s="314" t="s">
        <v>440</v>
      </c>
      <c r="E245" s="385">
        <v>0</v>
      </c>
      <c r="F245" s="315"/>
      <c r="G245" s="315"/>
      <c r="H245" s="526">
        <f>'PRICE LIST'!H249</f>
        <v>0</v>
      </c>
      <c r="I245" s="526">
        <f t="shared" si="147"/>
        <v>0</v>
      </c>
      <c r="K245" s="316" cm="1">
        <f t="array" ref="K245">_xlfn.IFS(M$2=1,'PRICE LIST'!L249,M$2=2,'PRICE LIST'!O249,$M$2=3,'PRICE LIST'!AA249,$M$2=4,H245*$H$2)</f>
        <v>0</v>
      </c>
      <c r="M245" s="339">
        <f t="shared" si="148"/>
        <v>0</v>
      </c>
      <c r="N245" s="376">
        <f t="shared" si="149"/>
        <v>0</v>
      </c>
      <c r="P245" s="339" t="e">
        <f t="shared" si="150"/>
        <v>#DIV/0!</v>
      </c>
      <c r="Q245" s="339">
        <f>N245*'MONTAJE CERR PROPIOS STE EP'!$C$18</f>
        <v>0</v>
      </c>
      <c r="S245" s="339" t="e">
        <f t="shared" si="154"/>
        <v>#DIV/0!</v>
      </c>
      <c r="T245" s="339">
        <f t="shared" si="155"/>
        <v>0</v>
      </c>
      <c r="V245" s="315"/>
      <c r="W245" s="339" t="e">
        <f t="shared" si="156"/>
        <v>#DIV/0!</v>
      </c>
      <c r="X245" s="339">
        <f t="shared" si="157"/>
        <v>0</v>
      </c>
      <c r="Y245" s="315"/>
      <c r="Z245" s="315"/>
      <c r="AA245" s="315"/>
      <c r="AB245" s="314"/>
      <c r="AC245" s="315"/>
      <c r="AD245" s="315"/>
      <c r="AE245" s="314"/>
      <c r="AF245" s="314"/>
      <c r="AG245" s="314"/>
      <c r="AH245" s="314"/>
      <c r="AI245" s="314"/>
      <c r="AJ245" s="314"/>
      <c r="AK245" s="314"/>
      <c r="AL245" s="314"/>
      <c r="AM245" s="314"/>
    </row>
    <row r="246" spans="1:39" s="316" customFormat="1" ht="15" hidden="1" thickBot="1" x14ac:dyDescent="0.4">
      <c r="A246" s="314"/>
      <c r="B246" s="55" t="s">
        <v>210</v>
      </c>
      <c r="C246" s="535" t="s">
        <v>210</v>
      </c>
      <c r="D246" s="314" t="s">
        <v>440</v>
      </c>
      <c r="E246" s="385">
        <v>0</v>
      </c>
      <c r="F246" s="315"/>
      <c r="G246" s="315"/>
      <c r="H246" s="526">
        <f>'PRICE LIST'!H250</f>
        <v>0</v>
      </c>
      <c r="I246" s="526">
        <f t="shared" si="147"/>
        <v>0</v>
      </c>
      <c r="K246" s="316" cm="1">
        <f t="array" ref="K246">_xlfn.IFS(M$2=1,'PRICE LIST'!L250,M$2=2,'PRICE LIST'!O250,$M$2=3,'PRICE LIST'!AA250,$M$2=4,H246*$H$2)</f>
        <v>0</v>
      </c>
      <c r="M246" s="339">
        <f t="shared" si="148"/>
        <v>0</v>
      </c>
      <c r="N246" s="376">
        <f t="shared" si="149"/>
        <v>0</v>
      </c>
      <c r="P246" s="339" t="e">
        <f t="shared" si="150"/>
        <v>#DIV/0!</v>
      </c>
      <c r="Q246" s="339">
        <f>N246*'MONTAJE CERR PROPIOS STE EP'!$C$18</f>
        <v>0</v>
      </c>
      <c r="S246" s="339" t="e">
        <f t="shared" si="154"/>
        <v>#DIV/0!</v>
      </c>
      <c r="T246" s="339">
        <f t="shared" si="155"/>
        <v>0</v>
      </c>
      <c r="V246" s="315"/>
      <c r="W246" s="339" t="e">
        <f t="shared" si="156"/>
        <v>#DIV/0!</v>
      </c>
      <c r="X246" s="339">
        <f t="shared" si="157"/>
        <v>0</v>
      </c>
      <c r="Y246" s="315"/>
      <c r="Z246" s="315"/>
      <c r="AA246" s="315"/>
      <c r="AB246" s="314"/>
      <c r="AC246" s="315"/>
      <c r="AD246" s="315"/>
      <c r="AE246" s="314"/>
      <c r="AF246" s="314"/>
      <c r="AG246" s="314"/>
      <c r="AH246" s="314"/>
      <c r="AI246" s="314"/>
      <c r="AJ246" s="314"/>
      <c r="AK246" s="314"/>
      <c r="AL246" s="314"/>
      <c r="AM246" s="314"/>
    </row>
    <row r="247" spans="1:39" ht="14.5" hidden="1" x14ac:dyDescent="0.35">
      <c r="B247" s="55"/>
      <c r="C247" s="535"/>
      <c r="E247" s="387"/>
      <c r="M247" s="339"/>
      <c r="N247" s="376"/>
      <c r="P247" s="339"/>
      <c r="Q247" s="339"/>
      <c r="S247" s="339"/>
      <c r="T247" s="339"/>
      <c r="V247" s="315"/>
      <c r="W247" s="339"/>
      <c r="X247" s="339"/>
      <c r="Y247" s="315"/>
      <c r="Z247" s="315"/>
      <c r="AA247" s="315"/>
    </row>
    <row r="248" spans="1:39" x14ac:dyDescent="0.25">
      <c r="M248" s="339"/>
      <c r="P248" s="339"/>
      <c r="Q248" s="339"/>
      <c r="S248" s="339"/>
      <c r="T248" s="339"/>
      <c r="V248" s="315"/>
      <c r="W248" s="339"/>
      <c r="X248" s="339"/>
      <c r="Y248" s="315"/>
      <c r="Z248" s="315"/>
      <c r="AA248" s="315"/>
    </row>
    <row r="249" spans="1:39" ht="39" x14ac:dyDescent="0.3">
      <c r="I249" s="354" t="s">
        <v>441</v>
      </c>
      <c r="J249" s="322"/>
      <c r="M249" s="355" t="s">
        <v>442</v>
      </c>
      <c r="N249" s="323"/>
      <c r="O249" s="322"/>
      <c r="P249"/>
      <c r="Q249" s="354" t="s">
        <v>443</v>
      </c>
      <c r="R249" s="322"/>
      <c r="S249" s="355"/>
      <c r="T249" s="355" t="s">
        <v>444</v>
      </c>
      <c r="V249" s="315"/>
      <c r="W249" s="355"/>
      <c r="X249" s="355" t="s">
        <v>445</v>
      </c>
      <c r="Y249" s="315"/>
      <c r="Z249" s="315"/>
      <c r="AA249" s="325" t="s">
        <v>446</v>
      </c>
      <c r="AB249" s="322"/>
      <c r="AC249" s="316"/>
      <c r="AD249" s="324" t="s">
        <v>447</v>
      </c>
      <c r="AE249" s="316"/>
    </row>
    <row r="250" spans="1:39" ht="13" x14ac:dyDescent="0.3">
      <c r="I250" s="534">
        <f>SUM(I9:I248)</f>
        <v>909.12900000000002</v>
      </c>
      <c r="J250" s="378"/>
      <c r="K250" s="378"/>
      <c r="L250" s="378"/>
      <c r="M250" s="377">
        <f>SUM(M5:M248)</f>
        <v>1473.9600000000003</v>
      </c>
      <c r="P250"/>
      <c r="Q250" s="380">
        <f>SUM(Q9:Q248)</f>
        <v>1123.4999999999998</v>
      </c>
      <c r="R250" s="381"/>
      <c r="S250" s="380"/>
      <c r="T250" s="380">
        <f>SUM(T9:T248)</f>
        <v>1629.0749999999996</v>
      </c>
      <c r="U250" s="381"/>
      <c r="V250" s="382"/>
      <c r="W250" s="380"/>
      <c r="X250" s="380">
        <f>SUM(X9:X248)</f>
        <v>3103.0349999999994</v>
      </c>
      <c r="Y250" s="315"/>
      <c r="Z250" s="315"/>
      <c r="AA250" s="377">
        <f>METRAJE!H118</f>
        <v>1500</v>
      </c>
      <c r="AB250" s="378"/>
      <c r="AC250" s="464">
        <v>1.3</v>
      </c>
      <c r="AD250" s="377">
        <f>AA250*AC250</f>
        <v>1950</v>
      </c>
      <c r="AE250" s="316"/>
    </row>
    <row r="251" spans="1:39" x14ac:dyDescent="0.25">
      <c r="K251" s="379">
        <f>(M250-I250)/M250</f>
        <v>0.38320646421883914</v>
      </c>
      <c r="S251" s="379">
        <f>(T250-Q250)/T250</f>
        <v>0.31034482758620685</v>
      </c>
      <c r="W251" s="379">
        <f>(X250-(Q250+I250))/X250</f>
        <v>0.34495453644576995</v>
      </c>
      <c r="AB251" s="316"/>
      <c r="AC251" s="379">
        <f>(AD250-AA250)/AD250</f>
        <v>0.23076923076923078</v>
      </c>
      <c r="AD251" s="316"/>
      <c r="AE251" s="316"/>
    </row>
  </sheetData>
  <autoFilter ref="E8:E247" xr:uid="{AEA80658-2FF2-4F9E-B008-3DF7B145E0F4}">
    <filterColumn colId="0">
      <filters>
        <filter val="10,00"/>
        <filter val="13,00"/>
        <filter val="18,90"/>
        <filter val="20,00"/>
        <filter val="6,00"/>
        <filter val="7,00"/>
      </filters>
    </filterColumn>
  </autoFilter>
  <mergeCells count="4">
    <mergeCell ref="B2:D2"/>
    <mergeCell ref="K1:N1"/>
    <mergeCell ref="S1:T1"/>
    <mergeCell ref="W1:X1"/>
  </mergeCells>
  <phoneticPr fontId="20" type="noConversion"/>
  <pageMargins left="0.70866141732283472" right="0.70866141732283472" top="0.74803149606299213" bottom="0.74803149606299213" header="0.31496062992125984" footer="0.31496062992125984"/>
  <pageSetup paperSize="8" scale="90" orientation="landscape" r:id="rId1"/>
  <drawing r:id="rId2"/>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prompt="1- TARIFA SICH &amp; MENA_x000a_2- TARIFA IBERIA_x000a_3- TARIFA LATAM_x000a_4- K Fija" xr:uid="{59114EA5-68AF-4A89-A3BA-1F15B1DAEF2C}">
          <x14:formula1>
            <xm:f>'PRICE LIST'!$AI$5:$AI$8</xm:f>
          </x14:formula1>
          <xm:sqref>M2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27C7EA-BFC1-494E-B78F-74BA4662532F}">
  <sheetPr>
    <pageSetUpPr fitToPage="1"/>
  </sheetPr>
  <dimension ref="A1:P80"/>
  <sheetViews>
    <sheetView zoomScale="85" zoomScaleNormal="85" workbookViewId="0">
      <selection activeCell="I29" sqref="I29"/>
    </sheetView>
  </sheetViews>
  <sheetFormatPr baseColWidth="10" defaultColWidth="9.1796875" defaultRowHeight="13" x14ac:dyDescent="0.3"/>
  <cols>
    <col min="1" max="1" width="17" style="26" customWidth="1"/>
    <col min="2" max="2" width="37.54296875" style="27" customWidth="1"/>
    <col min="3" max="3" width="13" style="27" bestFit="1" customWidth="1"/>
    <col min="4" max="4" width="15.54296875" style="26" customWidth="1"/>
    <col min="5" max="5" width="9.1796875" style="5"/>
    <col min="6" max="6" width="44.36328125" style="5" bestFit="1" customWidth="1"/>
    <col min="7" max="7" width="10.36328125" style="5" customWidth="1"/>
    <col min="8" max="8" width="23.36328125" style="5" customWidth="1"/>
    <col min="9" max="9" width="18" style="5" customWidth="1"/>
    <col min="10" max="10" width="20.36328125" style="5" bestFit="1" customWidth="1"/>
    <col min="11" max="11" width="11.1796875" style="5" bestFit="1" customWidth="1"/>
    <col min="12" max="12" width="9.1796875" style="5"/>
    <col min="13" max="13" width="35.54296875" style="5" bestFit="1" customWidth="1"/>
    <col min="14" max="14" width="4.81640625" style="5" bestFit="1" customWidth="1"/>
    <col min="15" max="15" width="17.54296875" style="5" bestFit="1" customWidth="1"/>
    <col min="16" max="16384" width="9.1796875" style="5"/>
  </cols>
  <sheetData>
    <row r="1" spans="1:11" ht="17.25" customHeight="1" x14ac:dyDescent="0.3">
      <c r="A1" s="1"/>
      <c r="B1" s="2"/>
      <c r="C1" s="2"/>
      <c r="D1" s="521"/>
    </row>
    <row r="2" spans="1:11" ht="18" customHeight="1" x14ac:dyDescent="0.3">
      <c r="A2" s="6"/>
      <c r="B2" s="520" t="s">
        <v>448</v>
      </c>
      <c r="C2" s="522" t="s">
        <v>927</v>
      </c>
      <c r="D2" s="524">
        <f>METRAJE!E9</f>
        <v>0</v>
      </c>
    </row>
    <row r="3" spans="1:11" ht="13.5" thickBot="1" x14ac:dyDescent="0.35">
      <c r="A3" s="8"/>
      <c r="B3" s="9"/>
      <c r="C3" s="523" t="s">
        <v>928</v>
      </c>
      <c r="D3" s="525" t="str">
        <f>IF((METRAJE!G9&lt;1),"FECHA",METRAJE!G9)</f>
        <v>FECHA</v>
      </c>
    </row>
    <row r="4" spans="1:11" s="13" customFormat="1" thickBot="1" x14ac:dyDescent="0.3">
      <c r="A4" s="12"/>
      <c r="B4" s="12"/>
      <c r="C4" s="12"/>
      <c r="D4" s="12"/>
    </row>
    <row r="5" spans="1:11" s="17" customFormat="1" ht="13.5" thickBot="1" x14ac:dyDescent="0.35">
      <c r="A5" s="14" t="s">
        <v>451</v>
      </c>
      <c r="B5" s="516">
        <f>METRAJE!D7</f>
        <v>0</v>
      </c>
      <c r="C5" s="16"/>
      <c r="E5" s="18"/>
      <c r="F5" s="19" t="s">
        <v>452</v>
      </c>
    </row>
    <row r="6" spans="1:11" s="13" customFormat="1" ht="13.5" thickBot="1" x14ac:dyDescent="0.35">
      <c r="A6" s="14" t="s">
        <v>453</v>
      </c>
      <c r="B6" s="517">
        <f>METRAJE!G7</f>
        <v>0</v>
      </c>
      <c r="C6" s="20"/>
      <c r="E6" s="21"/>
      <c r="F6" s="22" t="s">
        <v>454</v>
      </c>
    </row>
    <row r="7" spans="1:11" ht="13.5" thickBot="1" x14ac:dyDescent="0.35">
      <c r="A7"/>
      <c r="B7"/>
      <c r="C7" s="23"/>
      <c r="D7" s="24"/>
      <c r="E7" s="25"/>
      <c r="F7" s="22" t="s">
        <v>455</v>
      </c>
    </row>
    <row r="9" spans="1:11" x14ac:dyDescent="0.3">
      <c r="B9" s="5"/>
    </row>
    <row r="10" spans="1:11" x14ac:dyDescent="0.3">
      <c r="B10" s="5"/>
      <c r="F10" s="28"/>
      <c r="G10" s="475"/>
      <c r="I10" s="476"/>
      <c r="K10" s="477"/>
    </row>
    <row r="11" spans="1:11" ht="13.5" thickBot="1" x14ac:dyDescent="0.35">
      <c r="B11" s="5"/>
    </row>
    <row r="12" spans="1:11" x14ac:dyDescent="0.3">
      <c r="B12" s="46" t="s">
        <v>456</v>
      </c>
      <c r="C12" s="47"/>
      <c r="G12" s="478"/>
      <c r="I12" s="478"/>
    </row>
    <row r="13" spans="1:11" x14ac:dyDescent="0.3">
      <c r="B13" s="48"/>
      <c r="C13" s="49"/>
      <c r="E13" s="496">
        <f>C18/'PRECIO DEL METRAJE'!I250</f>
        <v>1.2357982200545796</v>
      </c>
      <c r="F13" s="5" t="s">
        <v>457</v>
      </c>
    </row>
    <row r="14" spans="1:11" x14ac:dyDescent="0.3">
      <c r="B14" s="50" t="s">
        <v>391</v>
      </c>
      <c r="C14" s="51">
        <f>C33+C51+C69</f>
        <v>651</v>
      </c>
      <c r="E14" s="479"/>
      <c r="G14" s="480"/>
      <c r="I14" s="481"/>
      <c r="K14" s="480"/>
    </row>
    <row r="15" spans="1:11" x14ac:dyDescent="0.3">
      <c r="B15" s="50" t="s">
        <v>458</v>
      </c>
      <c r="C15" s="51">
        <f>C34+C52+C70</f>
        <v>0</v>
      </c>
      <c r="E15" s="479"/>
      <c r="G15" s="480"/>
      <c r="I15" s="481"/>
      <c r="K15" s="480"/>
    </row>
    <row r="16" spans="1:11" x14ac:dyDescent="0.3">
      <c r="B16" s="50" t="s">
        <v>459</v>
      </c>
      <c r="C16" s="51">
        <f>C35+C36+C53+C54+C71</f>
        <v>472.50000000000006</v>
      </c>
      <c r="K16" s="359"/>
    </row>
    <row r="17" spans="1:12" x14ac:dyDescent="0.3">
      <c r="B17" s="50"/>
      <c r="C17" s="51"/>
      <c r="E17" s="479"/>
      <c r="G17" s="479"/>
      <c r="I17" s="479"/>
      <c r="K17" s="479"/>
    </row>
    <row r="18" spans="1:12" ht="13.5" thickBot="1" x14ac:dyDescent="0.35">
      <c r="B18" s="52" t="s">
        <v>331</v>
      </c>
      <c r="C18" s="53">
        <f>SUM(C14:C17)</f>
        <v>1123.5</v>
      </c>
      <c r="D18" s="54"/>
      <c r="K18" s="359"/>
    </row>
    <row r="19" spans="1:12" x14ac:dyDescent="0.3">
      <c r="B19" s="5"/>
      <c r="C19" s="5"/>
      <c r="E19" s="479"/>
      <c r="G19" s="480"/>
      <c r="I19" s="481"/>
      <c r="K19" s="480"/>
    </row>
    <row r="20" spans="1:12" x14ac:dyDescent="0.3">
      <c r="B20" s="5"/>
      <c r="C20" s="5"/>
      <c r="E20" s="479"/>
      <c r="G20" s="480"/>
      <c r="I20" s="481"/>
      <c r="K20" s="480"/>
    </row>
    <row r="21" spans="1:12" ht="13.5" thickBot="1" x14ac:dyDescent="0.35">
      <c r="B21" s="36" t="s">
        <v>460</v>
      </c>
      <c r="C21" s="37"/>
      <c r="E21" s="479"/>
      <c r="G21" s="480"/>
      <c r="I21" s="481"/>
      <c r="K21" s="480"/>
    </row>
    <row r="22" spans="1:12" ht="13.5" thickBot="1" x14ac:dyDescent="0.35">
      <c r="B22" s="39" t="s">
        <v>461</v>
      </c>
      <c r="C22" s="435">
        <f>METRAJE!I43</f>
        <v>0</v>
      </c>
      <c r="E22" s="479"/>
      <c r="G22" s="480"/>
      <c r="I22" s="481"/>
      <c r="K22" s="480"/>
    </row>
    <row r="23" spans="1:12" ht="13.5" thickBot="1" x14ac:dyDescent="0.35">
      <c r="A23" s="634" t="s">
        <v>462</v>
      </c>
      <c r="B23" s="634"/>
      <c r="C23" s="41">
        <f>C22/(100*G31/4)</f>
        <v>0</v>
      </c>
      <c r="E23" s="479"/>
      <c r="G23" s="482"/>
      <c r="I23" s="481"/>
      <c r="K23" s="480"/>
    </row>
    <row r="24" spans="1:12" ht="13.5" thickBot="1" x14ac:dyDescent="0.35">
      <c r="B24" s="39" t="s">
        <v>463</v>
      </c>
      <c r="C24" s="42">
        <v>1</v>
      </c>
    </row>
    <row r="25" spans="1:12" ht="13.5" thickBot="1" x14ac:dyDescent="0.35">
      <c r="B25" s="39" t="s">
        <v>464</v>
      </c>
      <c r="C25" s="43">
        <f>ROUNDUP(0.05*C23,0)</f>
        <v>0</v>
      </c>
    </row>
    <row r="26" spans="1:12" ht="6.75" customHeight="1" x14ac:dyDescent="0.3"/>
    <row r="27" spans="1:12" ht="6.75" customHeight="1" x14ac:dyDescent="0.3"/>
    <row r="28" spans="1:12" ht="6.75" customHeight="1" thickBot="1" x14ac:dyDescent="0.35"/>
    <row r="29" spans="1:12" ht="13.5" thickBot="1" x14ac:dyDescent="0.35">
      <c r="B29" s="5"/>
      <c r="F29" s="28" t="s">
        <v>465</v>
      </c>
      <c r="G29" s="372">
        <f>C42*C43+C44</f>
        <v>0.42000000000000004</v>
      </c>
      <c r="H29" s="5" t="s">
        <v>466</v>
      </c>
      <c r="I29" s="373">
        <f>G29/4</f>
        <v>0.10500000000000001</v>
      </c>
      <c r="J29" s="5" t="s">
        <v>467</v>
      </c>
      <c r="K29" s="374">
        <f>G29*7</f>
        <v>2.9400000000000004</v>
      </c>
      <c r="L29" s="5" t="s">
        <v>468</v>
      </c>
    </row>
    <row r="30" spans="1:12" ht="13.5" thickBot="1" x14ac:dyDescent="0.35">
      <c r="B30" s="5"/>
    </row>
    <row r="31" spans="1:12" ht="13.5" thickBot="1" x14ac:dyDescent="0.35">
      <c r="B31" s="46" t="s">
        <v>469</v>
      </c>
      <c r="C31" s="47"/>
      <c r="F31" s="5" t="s">
        <v>470</v>
      </c>
      <c r="G31" s="356">
        <v>2</v>
      </c>
      <c r="H31" s="5" t="s">
        <v>471</v>
      </c>
      <c r="I31" s="356" t="s">
        <v>472</v>
      </c>
    </row>
    <row r="32" spans="1:12" ht="13.5" thickBot="1" x14ac:dyDescent="0.35">
      <c r="B32" s="48"/>
      <c r="C32" s="49"/>
    </row>
    <row r="33" spans="1:16" ht="13.5" thickBot="1" x14ac:dyDescent="0.35">
      <c r="B33" s="50" t="s">
        <v>391</v>
      </c>
      <c r="C33" s="51">
        <f>K33+K34</f>
        <v>651</v>
      </c>
      <c r="E33" s="32">
        <v>1</v>
      </c>
      <c r="F33" s="5" t="s">
        <v>473</v>
      </c>
      <c r="G33" s="357">
        <v>3700</v>
      </c>
      <c r="H33" s="5" t="s">
        <v>474</v>
      </c>
      <c r="I33" s="44"/>
      <c r="J33" s="5" t="s">
        <v>475</v>
      </c>
      <c r="K33" s="358">
        <f>E33*G33*$I$29</f>
        <v>388.50000000000006</v>
      </c>
    </row>
    <row r="34" spans="1:16" ht="13.5" thickBot="1" x14ac:dyDescent="0.35">
      <c r="B34" s="50" t="s">
        <v>458</v>
      </c>
      <c r="C34" s="51">
        <f>K36+K40</f>
        <v>0</v>
      </c>
      <c r="E34" s="32">
        <v>1</v>
      </c>
      <c r="F34" s="5" t="s">
        <v>471</v>
      </c>
      <c r="G34" s="357">
        <v>2500</v>
      </c>
      <c r="H34" s="5" t="s">
        <v>474</v>
      </c>
      <c r="I34" s="44"/>
      <c r="J34" s="5" t="s">
        <v>475</v>
      </c>
      <c r="K34" s="358">
        <f>E34*G34*$I$29</f>
        <v>262.5</v>
      </c>
    </row>
    <row r="35" spans="1:16" ht="13.5" thickBot="1" x14ac:dyDescent="0.35">
      <c r="B35" s="50" t="s">
        <v>476</v>
      </c>
      <c r="C35" s="51">
        <f>K38+K39</f>
        <v>0</v>
      </c>
      <c r="K35" s="359"/>
    </row>
    <row r="36" spans="1:16" ht="13.5" thickBot="1" x14ac:dyDescent="0.35">
      <c r="B36" s="50" t="s">
        <v>477</v>
      </c>
      <c r="C36" s="51">
        <f>K41</f>
        <v>472.50000000000006</v>
      </c>
      <c r="E36" s="25">
        <v>0</v>
      </c>
      <c r="F36" s="5" t="s">
        <v>478</v>
      </c>
      <c r="G36" s="21">
        <v>0</v>
      </c>
      <c r="H36" s="5" t="s">
        <v>479</v>
      </c>
      <c r="I36" s="32">
        <v>1000</v>
      </c>
      <c r="J36" s="5" t="s">
        <v>480</v>
      </c>
      <c r="K36" s="25">
        <f>E36*G36*I36</f>
        <v>0</v>
      </c>
    </row>
    <row r="37" spans="1:16" ht="13.5" thickBot="1" x14ac:dyDescent="0.35">
      <c r="B37" s="52" t="s">
        <v>331</v>
      </c>
      <c r="C37" s="53">
        <f>SUM(C33:C36)</f>
        <v>1123.5</v>
      </c>
      <c r="D37" s="54"/>
      <c r="K37" s="359"/>
    </row>
    <row r="38" spans="1:16" ht="13.5" thickBot="1" x14ac:dyDescent="0.35">
      <c r="B38" s="5"/>
      <c r="C38" s="5"/>
      <c r="E38" s="32">
        <v>0</v>
      </c>
      <c r="F38" s="5" t="s">
        <v>481</v>
      </c>
      <c r="G38" s="360">
        <v>1200</v>
      </c>
      <c r="H38" s="5" t="s">
        <v>474</v>
      </c>
      <c r="I38" s="361">
        <f>$I$29</f>
        <v>0.10500000000000001</v>
      </c>
      <c r="J38" s="5" t="s">
        <v>467</v>
      </c>
      <c r="K38" s="358">
        <f>E38*G38*I38</f>
        <v>0</v>
      </c>
    </row>
    <row r="39" spans="1:16" ht="13.5" thickBot="1" x14ac:dyDescent="0.35">
      <c r="B39" s="5"/>
      <c r="C39" s="5"/>
      <c r="E39" s="32">
        <v>0</v>
      </c>
      <c r="F39" s="5" t="s">
        <v>482</v>
      </c>
      <c r="G39" s="362">
        <v>60</v>
      </c>
      <c r="H39" s="5" t="s">
        <v>474</v>
      </c>
      <c r="I39" s="361">
        <f>$I$29</f>
        <v>0.10500000000000001</v>
      </c>
      <c r="J39" s="5" t="s">
        <v>467</v>
      </c>
      <c r="K39" s="358">
        <f>E39*G39*I39</f>
        <v>0</v>
      </c>
    </row>
    <row r="40" spans="1:16" ht="13.5" thickBot="1" x14ac:dyDescent="0.35">
      <c r="B40" s="36" t="s">
        <v>460</v>
      </c>
      <c r="C40" s="37"/>
      <c r="E40" s="32">
        <v>0</v>
      </c>
      <c r="F40" s="5" t="s">
        <v>483</v>
      </c>
      <c r="G40" s="362">
        <v>500</v>
      </c>
      <c r="H40" s="5" t="s">
        <v>474</v>
      </c>
      <c r="I40" s="361">
        <f>$I$29</f>
        <v>0.10500000000000001</v>
      </c>
      <c r="J40" s="5" t="s">
        <v>467</v>
      </c>
      <c r="K40" s="358">
        <f>E40*G40*I40</f>
        <v>0</v>
      </c>
    </row>
    <row r="41" spans="1:16" ht="13.5" thickBot="1" x14ac:dyDescent="0.35">
      <c r="B41" s="39" t="s">
        <v>461</v>
      </c>
      <c r="C41" s="435">
        <f>C22</f>
        <v>0</v>
      </c>
      <c r="E41" s="32">
        <v>2</v>
      </c>
      <c r="F41" s="5" t="s">
        <v>477</v>
      </c>
      <c r="G41" s="362">
        <v>2250</v>
      </c>
      <c r="H41" s="5" t="s">
        <v>484</v>
      </c>
      <c r="I41" s="361">
        <f>$I$29</f>
        <v>0.10500000000000001</v>
      </c>
      <c r="J41" s="5" t="s">
        <v>467</v>
      </c>
      <c r="K41" s="358">
        <f>E41*G41*I41</f>
        <v>472.50000000000006</v>
      </c>
      <c r="M41" s="5" t="s">
        <v>485</v>
      </c>
      <c r="N41" s="5">
        <v>75</v>
      </c>
      <c r="O41" s="5" t="s">
        <v>486</v>
      </c>
      <c r="P41" s="5">
        <f>N41*30</f>
        <v>2250</v>
      </c>
    </row>
    <row r="42" spans="1:16" ht="13.5" thickBot="1" x14ac:dyDescent="0.35">
      <c r="A42" s="634" t="s">
        <v>462</v>
      </c>
      <c r="B42" s="634"/>
      <c r="C42" s="41">
        <v>0.4</v>
      </c>
      <c r="E42" s="32"/>
      <c r="F42" s="5" t="s">
        <v>487</v>
      </c>
      <c r="G42" s="363">
        <v>0.4</v>
      </c>
      <c r="H42" s="5" t="s">
        <v>488</v>
      </c>
      <c r="I42" s="361"/>
      <c r="K42" s="358">
        <f>E42*G42</f>
        <v>0</v>
      </c>
      <c r="M42" s="5" t="s">
        <v>489</v>
      </c>
      <c r="N42" s="5">
        <v>25</v>
      </c>
      <c r="O42" s="5" t="s">
        <v>486</v>
      </c>
      <c r="P42" s="5">
        <f>N42*30</f>
        <v>750</v>
      </c>
    </row>
    <row r="43" spans="1:16" ht="13.5" thickBot="1" x14ac:dyDescent="0.35">
      <c r="B43" s="39" t="s">
        <v>463</v>
      </c>
      <c r="C43" s="42">
        <v>1</v>
      </c>
    </row>
    <row r="44" spans="1:16" ht="13.5" thickBot="1" x14ac:dyDescent="0.35">
      <c r="B44" s="39" t="s">
        <v>464</v>
      </c>
      <c r="C44" s="43">
        <f>(0.05*C42)</f>
        <v>2.0000000000000004E-2</v>
      </c>
    </row>
    <row r="45" spans="1:16" x14ac:dyDescent="0.3">
      <c r="B45" s="39"/>
      <c r="C45" s="474"/>
    </row>
    <row r="46" spans="1:16" ht="13.5" thickBot="1" x14ac:dyDescent="0.35">
      <c r="B46" s="5"/>
    </row>
    <row r="47" spans="1:16" ht="13.5" thickBot="1" x14ac:dyDescent="0.35">
      <c r="B47" s="5"/>
      <c r="F47" s="28" t="s">
        <v>465</v>
      </c>
      <c r="G47" s="372">
        <v>2</v>
      </c>
      <c r="H47" s="5" t="s">
        <v>466</v>
      </c>
      <c r="I47" s="373">
        <f>G47/4</f>
        <v>0.5</v>
      </c>
      <c r="J47" s="5" t="s">
        <v>467</v>
      </c>
      <c r="K47" s="374">
        <f>G47*7</f>
        <v>14</v>
      </c>
      <c r="L47" s="5" t="s">
        <v>468</v>
      </c>
    </row>
    <row r="48" spans="1:16" ht="13.5" thickBot="1" x14ac:dyDescent="0.35">
      <c r="B48" s="5"/>
    </row>
    <row r="49" spans="2:16" ht="13.5" thickBot="1" x14ac:dyDescent="0.35">
      <c r="B49" s="46" t="s">
        <v>490</v>
      </c>
      <c r="C49" s="47"/>
      <c r="F49" s="5" t="s">
        <v>470</v>
      </c>
      <c r="G49" s="356">
        <v>1</v>
      </c>
      <c r="H49" s="5" t="s">
        <v>471</v>
      </c>
      <c r="I49" s="356" t="s">
        <v>472</v>
      </c>
    </row>
    <row r="50" spans="2:16" ht="13.5" thickBot="1" x14ac:dyDescent="0.35">
      <c r="B50" s="48"/>
      <c r="C50" s="49"/>
    </row>
    <row r="51" spans="2:16" ht="13.5" thickBot="1" x14ac:dyDescent="0.35">
      <c r="B51" s="50" t="s">
        <v>391</v>
      </c>
      <c r="C51" s="51">
        <f>K51+K52</f>
        <v>0</v>
      </c>
      <c r="E51" s="32">
        <v>0</v>
      </c>
      <c r="F51" s="5" t="s">
        <v>473</v>
      </c>
      <c r="G51" s="357">
        <v>1800</v>
      </c>
      <c r="H51" s="5" t="s">
        <v>474</v>
      </c>
      <c r="I51" s="44"/>
      <c r="J51" s="5" t="s">
        <v>475</v>
      </c>
      <c r="K51" s="358">
        <f>E51*G51*$I$47</f>
        <v>0</v>
      </c>
    </row>
    <row r="52" spans="2:16" ht="13.5" thickBot="1" x14ac:dyDescent="0.35">
      <c r="B52" s="50" t="s">
        <v>458</v>
      </c>
      <c r="C52" s="51">
        <f>K54+K58</f>
        <v>0</v>
      </c>
      <c r="E52" s="32">
        <v>0</v>
      </c>
      <c r="F52" s="5" t="s">
        <v>471</v>
      </c>
      <c r="G52" s="357">
        <v>1500</v>
      </c>
      <c r="H52" s="5" t="s">
        <v>474</v>
      </c>
      <c r="I52" s="44"/>
      <c r="J52" s="5" t="s">
        <v>475</v>
      </c>
      <c r="K52" s="358">
        <f>E52*G52*$I$47</f>
        <v>0</v>
      </c>
    </row>
    <row r="53" spans="2:16" ht="13.5" thickBot="1" x14ac:dyDescent="0.35">
      <c r="B53" s="50" t="s">
        <v>476</v>
      </c>
      <c r="C53" s="51">
        <f>K56+K57</f>
        <v>0</v>
      </c>
      <c r="K53" s="359"/>
    </row>
    <row r="54" spans="2:16" ht="13.5" thickBot="1" x14ac:dyDescent="0.35">
      <c r="B54" s="50" t="s">
        <v>477</v>
      </c>
      <c r="C54" s="51">
        <f>K59</f>
        <v>0</v>
      </c>
      <c r="E54" s="25">
        <v>0</v>
      </c>
      <c r="F54" s="5" t="s">
        <v>478</v>
      </c>
      <c r="G54" s="21">
        <v>0</v>
      </c>
      <c r="H54" s="5" t="s">
        <v>479</v>
      </c>
      <c r="I54" s="32">
        <v>1500</v>
      </c>
      <c r="J54" s="5" t="s">
        <v>480</v>
      </c>
      <c r="K54" s="25">
        <f>E54*G54*I54</f>
        <v>0</v>
      </c>
    </row>
    <row r="55" spans="2:16" ht="13.5" thickBot="1" x14ac:dyDescent="0.35">
      <c r="B55" s="52" t="s">
        <v>331</v>
      </c>
      <c r="C55" s="53">
        <f>SUM(C51:C54)</f>
        <v>0</v>
      </c>
      <c r="D55" s="54">
        <f>C55/'PRECIO DEL METRAJE'!I250</f>
        <v>0</v>
      </c>
      <c r="K55" s="359"/>
    </row>
    <row r="56" spans="2:16" ht="13.5" thickBot="1" x14ac:dyDescent="0.35">
      <c r="B56" s="5"/>
      <c r="C56" s="5"/>
      <c r="E56" s="32">
        <v>0</v>
      </c>
      <c r="F56" s="5" t="s">
        <v>481</v>
      </c>
      <c r="G56" s="360">
        <v>1200</v>
      </c>
      <c r="H56" s="5" t="s">
        <v>474</v>
      </c>
      <c r="I56" s="361">
        <f>$I$47</f>
        <v>0.5</v>
      </c>
      <c r="J56" s="5" t="s">
        <v>467</v>
      </c>
      <c r="K56" s="358">
        <f>E56*G56*I56</f>
        <v>0</v>
      </c>
    </row>
    <row r="57" spans="2:16" ht="13.5" thickBot="1" x14ac:dyDescent="0.35">
      <c r="B57" s="5"/>
      <c r="C57" s="5"/>
      <c r="E57" s="32">
        <v>0</v>
      </c>
      <c r="F57" s="5" t="s">
        <v>482</v>
      </c>
      <c r="G57" s="362">
        <v>60</v>
      </c>
      <c r="H57" s="5" t="s">
        <v>474</v>
      </c>
      <c r="I57" s="361">
        <f>$I$47</f>
        <v>0.5</v>
      </c>
      <c r="J57" s="5" t="s">
        <v>467</v>
      </c>
      <c r="K57" s="358">
        <f>E57*G57*I57</f>
        <v>0</v>
      </c>
      <c r="M57" s="5" t="s">
        <v>485</v>
      </c>
      <c r="N57" s="5">
        <v>75</v>
      </c>
      <c r="O57" s="5" t="s">
        <v>486</v>
      </c>
      <c r="P57" s="5">
        <f>N57*30</f>
        <v>2250</v>
      </c>
    </row>
    <row r="58" spans="2:16" ht="13.5" thickBot="1" x14ac:dyDescent="0.35">
      <c r="B58" s="36" t="s">
        <v>460</v>
      </c>
      <c r="C58" s="37"/>
      <c r="E58" s="32">
        <v>0</v>
      </c>
      <c r="F58" s="5" t="s">
        <v>483</v>
      </c>
      <c r="G58" s="362">
        <v>500</v>
      </c>
      <c r="H58" s="5" t="s">
        <v>474</v>
      </c>
      <c r="I58" s="361">
        <f>$I$47</f>
        <v>0.5</v>
      </c>
      <c r="J58" s="5" t="s">
        <v>467</v>
      </c>
      <c r="K58" s="358">
        <f>E58*G58*I58</f>
        <v>0</v>
      </c>
      <c r="M58" s="5" t="s">
        <v>489</v>
      </c>
      <c r="N58" s="5">
        <v>25</v>
      </c>
      <c r="O58" s="5" t="s">
        <v>486</v>
      </c>
      <c r="P58" s="5">
        <f>N58*30</f>
        <v>750</v>
      </c>
    </row>
    <row r="59" spans="2:16" ht="13.5" thickBot="1" x14ac:dyDescent="0.35">
      <c r="B59" s="39"/>
      <c r="C59" s="41"/>
      <c r="E59" s="32">
        <v>0</v>
      </c>
      <c r="F59" s="5" t="s">
        <v>477</v>
      </c>
      <c r="G59" s="362">
        <v>2250</v>
      </c>
      <c r="H59" s="5" t="s">
        <v>484</v>
      </c>
      <c r="I59" s="361">
        <f>$I$47</f>
        <v>0.5</v>
      </c>
      <c r="J59" s="5" t="s">
        <v>467</v>
      </c>
      <c r="K59" s="358">
        <f>E59*G59*I59</f>
        <v>0</v>
      </c>
    </row>
    <row r="60" spans="2:16" x14ac:dyDescent="0.3">
      <c r="B60" s="484"/>
      <c r="C60" s="485"/>
    </row>
    <row r="61" spans="2:16" x14ac:dyDescent="0.3">
      <c r="B61" s="484"/>
      <c r="C61" s="485"/>
    </row>
    <row r="62" spans="2:16" ht="6.75" customHeight="1" x14ac:dyDescent="0.3"/>
    <row r="63" spans="2:16" ht="6.75" customHeight="1" thickBot="1" x14ac:dyDescent="0.35"/>
    <row r="64" spans="2:16" ht="13.5" thickBot="1" x14ac:dyDescent="0.35">
      <c r="F64" s="28" t="s">
        <v>491</v>
      </c>
      <c r="G64" s="29">
        <v>2</v>
      </c>
      <c r="H64" s="5" t="s">
        <v>466</v>
      </c>
      <c r="I64" s="25">
        <f>G64/4</f>
        <v>0.5</v>
      </c>
      <c r="J64" s="5" t="s">
        <v>467</v>
      </c>
    </row>
    <row r="65" spans="2:11" ht="6" customHeight="1" thickBot="1" x14ac:dyDescent="0.35">
      <c r="B65" s="5"/>
    </row>
    <row r="66" spans="2:11" ht="13.5" thickBot="1" x14ac:dyDescent="0.35">
      <c r="B66" s="5"/>
      <c r="F66" s="5" t="s">
        <v>470</v>
      </c>
      <c r="G66" s="32">
        <v>1</v>
      </c>
      <c r="H66" s="5" t="s">
        <v>471</v>
      </c>
      <c r="I66" s="32"/>
    </row>
    <row r="67" spans="2:11" ht="13.5" thickBot="1" x14ac:dyDescent="0.35">
      <c r="B67" s="30" t="s">
        <v>492</v>
      </c>
      <c r="C67" s="31"/>
    </row>
    <row r="68" spans="2:11" ht="13.5" thickBot="1" x14ac:dyDescent="0.35">
      <c r="B68" s="5"/>
      <c r="C68" s="5"/>
      <c r="E68" s="32">
        <v>0</v>
      </c>
      <c r="F68" s="5" t="s">
        <v>473</v>
      </c>
      <c r="G68" s="32">
        <v>1800</v>
      </c>
      <c r="H68" s="5" t="s">
        <v>474</v>
      </c>
      <c r="K68" s="25">
        <f>E68*G68*$I$64</f>
        <v>0</v>
      </c>
    </row>
    <row r="69" spans="2:11" ht="13.5" thickBot="1" x14ac:dyDescent="0.35">
      <c r="B69" s="27" t="s">
        <v>391</v>
      </c>
      <c r="C69" s="33">
        <f>K68+K69</f>
        <v>0</v>
      </c>
      <c r="E69" s="32">
        <v>0</v>
      </c>
      <c r="F69" s="5" t="s">
        <v>471</v>
      </c>
      <c r="G69" s="32">
        <v>1500</v>
      </c>
      <c r="H69" s="5" t="s">
        <v>474</v>
      </c>
      <c r="K69" s="25">
        <f>E69*G69*$I$64</f>
        <v>0</v>
      </c>
    </row>
    <row r="70" spans="2:11" ht="13.5" thickBot="1" x14ac:dyDescent="0.35">
      <c r="B70" s="27" t="s">
        <v>458</v>
      </c>
      <c r="C70" s="33">
        <f>K71+K74</f>
        <v>0</v>
      </c>
    </row>
    <row r="71" spans="2:11" ht="13.5" thickBot="1" x14ac:dyDescent="0.35">
      <c r="B71" s="27" t="s">
        <v>493</v>
      </c>
      <c r="C71" s="33">
        <f>K73+K74+K75</f>
        <v>0</v>
      </c>
      <c r="E71" s="25">
        <v>0</v>
      </c>
      <c r="F71" s="5" t="s">
        <v>494</v>
      </c>
      <c r="G71" s="21">
        <f>ROUNDUP(G64/6,1)</f>
        <v>0.4</v>
      </c>
      <c r="H71" s="5" t="s">
        <v>495</v>
      </c>
      <c r="I71" s="44">
        <v>200</v>
      </c>
      <c r="J71" s="5" t="s">
        <v>496</v>
      </c>
      <c r="K71" s="25">
        <f>E71*G71*I71</f>
        <v>0</v>
      </c>
    </row>
    <row r="72" spans="2:11" ht="13.5" thickBot="1" x14ac:dyDescent="0.35">
      <c r="B72" s="34" t="s">
        <v>331</v>
      </c>
      <c r="C72" s="35">
        <f>SUM(C69:C71)</f>
        <v>0</v>
      </c>
    </row>
    <row r="73" spans="2:11" ht="13.5" thickBot="1" x14ac:dyDescent="0.35">
      <c r="B73" s="5"/>
      <c r="C73" s="5"/>
      <c r="E73" s="32">
        <v>0</v>
      </c>
      <c r="F73" s="5" t="s">
        <v>481</v>
      </c>
      <c r="G73" s="32"/>
      <c r="H73" s="5" t="s">
        <v>474</v>
      </c>
      <c r="I73" s="38">
        <f>ROUNDUP($I$64,0)</f>
        <v>1</v>
      </c>
      <c r="J73" s="5" t="s">
        <v>467</v>
      </c>
      <c r="K73" s="25">
        <f>E73*G73*I73</f>
        <v>0</v>
      </c>
    </row>
    <row r="74" spans="2:11" ht="13.5" thickBot="1" x14ac:dyDescent="0.35">
      <c r="B74" s="36" t="s">
        <v>460</v>
      </c>
      <c r="C74" s="37"/>
      <c r="E74" s="32">
        <v>0</v>
      </c>
      <c r="F74" s="5" t="s">
        <v>483</v>
      </c>
      <c r="G74" s="32"/>
      <c r="H74" s="5" t="s">
        <v>474</v>
      </c>
      <c r="I74" s="38">
        <f>ROUNDUP($I$64,0)</f>
        <v>1</v>
      </c>
      <c r="J74" s="5" t="s">
        <v>467</v>
      </c>
      <c r="K74" s="25">
        <f>E74*G74*I74</f>
        <v>0</v>
      </c>
    </row>
    <row r="75" spans="2:11" ht="13.5" thickBot="1" x14ac:dyDescent="0.35">
      <c r="B75" s="39"/>
      <c r="C75" s="41"/>
      <c r="E75" s="25">
        <v>0</v>
      </c>
      <c r="F75" s="5" t="s">
        <v>477</v>
      </c>
      <c r="G75" s="32"/>
      <c r="H75" s="5" t="s">
        <v>484</v>
      </c>
      <c r="I75" s="38">
        <f>ROUNDUP($I$10,0)</f>
        <v>0</v>
      </c>
      <c r="J75" s="5" t="s">
        <v>467</v>
      </c>
      <c r="K75" s="25">
        <f>E75*G75*I75</f>
        <v>0</v>
      </c>
    </row>
    <row r="76" spans="2:11" x14ac:dyDescent="0.3">
      <c r="B76" s="39"/>
      <c r="C76" s="41"/>
    </row>
    <row r="78" spans="2:11" ht="13.5" thickBot="1" x14ac:dyDescent="0.35"/>
    <row r="79" spans="2:11" x14ac:dyDescent="0.3">
      <c r="G79" s="364" t="s">
        <v>497</v>
      </c>
      <c r="H79" s="365"/>
      <c r="I79" s="366"/>
      <c r="J79" s="367"/>
    </row>
    <row r="80" spans="2:11" ht="13.5" thickBot="1" x14ac:dyDescent="0.35">
      <c r="G80" s="368" t="s">
        <v>498</v>
      </c>
      <c r="H80" s="369"/>
      <c r="I80" s="370"/>
      <c r="J80" s="371"/>
    </row>
  </sheetData>
  <mergeCells count="2">
    <mergeCell ref="A23:B23"/>
    <mergeCell ref="A42:B42"/>
  </mergeCells>
  <pageMargins left="0.25" right="0.25" top="0.75" bottom="0.75" header="0.3" footer="0.3"/>
  <pageSetup paperSize="9" scale="44"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97A89E-2C82-4189-8D25-AAC8E2C826A8}">
  <sheetPr filterMode="1"/>
  <dimension ref="A1:AD254"/>
  <sheetViews>
    <sheetView showGridLines="0" zoomScaleNormal="100" workbookViewId="0">
      <pane ySplit="4" topLeftCell="A5" activePane="bottomLeft" state="frozen"/>
      <selection pane="bottomLeft" activeCell="D253" sqref="D253"/>
    </sheetView>
  </sheetViews>
  <sheetFormatPr baseColWidth="10" defaultColWidth="11.36328125" defaultRowHeight="18" customHeight="1" x14ac:dyDescent="0.35"/>
  <cols>
    <col min="1" max="1" width="5.36328125" style="55" customWidth="1"/>
    <col min="2" max="2" width="5.36328125" style="62" customWidth="1"/>
    <col min="3" max="3" width="20.81640625" style="55" customWidth="1"/>
    <col min="4" max="4" width="77.26953125" style="55" customWidth="1"/>
    <col min="5" max="5" width="15" style="55" customWidth="1"/>
    <col min="6" max="6" width="12.36328125" style="55" customWidth="1"/>
    <col min="7" max="7" width="10.36328125" style="62" customWidth="1"/>
    <col min="8" max="8" width="13.1796875" style="58" customWidth="1"/>
    <col min="9" max="9" width="13.36328125" style="58" customWidth="1"/>
    <col min="10" max="10" width="13.81640625" style="58" customWidth="1"/>
    <col min="11" max="11" width="17.81640625" style="58" customWidth="1"/>
    <col min="12" max="12" width="4" style="58" customWidth="1"/>
    <col min="13" max="13" width="16.54296875" style="58" customWidth="1"/>
    <col min="14" max="14" width="12.7265625" style="59" customWidth="1"/>
    <col min="15" max="15" width="35" style="58" customWidth="1"/>
    <col min="16" max="16" width="4.36328125" style="58" customWidth="1"/>
    <col min="17" max="17" width="13.36328125" style="58" customWidth="1"/>
    <col min="18" max="18" width="16.1796875" style="58" customWidth="1"/>
    <col min="19" max="19" width="2.81640625" style="55" customWidth="1"/>
    <col min="20" max="20" width="4.54296875" style="62" bestFit="1" customWidth="1"/>
    <col min="21" max="21" width="13.81640625" style="62" customWidth="1"/>
    <col min="22" max="22" width="11.36328125" style="55"/>
    <col min="23" max="24" width="13.36328125" style="55" bestFit="1" customWidth="1"/>
    <col min="25" max="16384" width="11.36328125" style="55"/>
  </cols>
  <sheetData>
    <row r="1" spans="2:24" ht="18" customHeight="1" x14ac:dyDescent="0.35">
      <c r="B1" s="638"/>
      <c r="C1" s="638"/>
      <c r="D1" s="638"/>
      <c r="E1" s="638"/>
      <c r="F1" s="638"/>
      <c r="G1" s="638"/>
      <c r="H1" s="638"/>
      <c r="I1" s="638"/>
      <c r="J1" s="638"/>
      <c r="K1" s="62"/>
    </row>
    <row r="2" spans="2:24" ht="55.5" customHeight="1" x14ac:dyDescent="0.35">
      <c r="B2" s="636" t="s">
        <v>499</v>
      </c>
      <c r="C2" s="637"/>
      <c r="D2" s="637"/>
      <c r="E2" s="226"/>
      <c r="F2" s="639"/>
      <c r="G2" s="639"/>
      <c r="H2" s="225"/>
      <c r="I2" s="225"/>
      <c r="J2" s="225"/>
      <c r="K2" s="225"/>
      <c r="L2" s="186"/>
      <c r="M2" s="234" t="s">
        <v>500</v>
      </c>
      <c r="N2" s="235"/>
      <c r="O2" s="186"/>
      <c r="P2" s="62"/>
      <c r="Q2" s="62"/>
      <c r="R2" s="62"/>
      <c r="S2" s="62"/>
    </row>
    <row r="3" spans="2:24" ht="18" customHeight="1" thickBot="1" x14ac:dyDescent="0.4">
      <c r="M3" s="62"/>
      <c r="N3" s="62"/>
      <c r="O3" s="62"/>
      <c r="P3" s="62"/>
      <c r="Q3" s="62"/>
      <c r="R3" s="62"/>
      <c r="S3" s="62"/>
    </row>
    <row r="4" spans="2:24" ht="29.5" customHeight="1" thickTop="1" x14ac:dyDescent="0.35">
      <c r="B4" s="232"/>
      <c r="C4" s="468" t="s">
        <v>7</v>
      </c>
      <c r="D4" s="469" t="s">
        <v>218</v>
      </c>
      <c r="E4" s="470" t="s">
        <v>9</v>
      </c>
      <c r="F4" s="470" t="s">
        <v>398</v>
      </c>
      <c r="G4" s="471" t="s">
        <v>501</v>
      </c>
      <c r="H4" s="472" t="s">
        <v>502</v>
      </c>
      <c r="I4" s="472" t="s">
        <v>503</v>
      </c>
      <c r="J4" s="472" t="s">
        <v>504</v>
      </c>
      <c r="K4" s="473" t="s">
        <v>505</v>
      </c>
      <c r="L4" s="57"/>
      <c r="M4" s="62" t="str">
        <f t="shared" ref="M4:M21" si="0">IF(F4&gt;0.1,"MOSTRAR","OCULTAR")</f>
        <v>MOSTRAR</v>
      </c>
      <c r="N4" s="62"/>
      <c r="O4" s="62"/>
      <c r="P4" s="62"/>
      <c r="Q4" s="62"/>
      <c r="R4" s="62"/>
      <c r="S4" s="62"/>
    </row>
    <row r="5" spans="2:24" ht="18" hidden="1" customHeight="1" thickTop="1" x14ac:dyDescent="0.35">
      <c r="B5" s="233" t="s">
        <v>506</v>
      </c>
      <c r="C5" s="302"/>
      <c r="D5" s="56"/>
      <c r="E5" s="56"/>
      <c r="F5" s="264">
        <v>1</v>
      </c>
      <c r="G5" s="257"/>
      <c r="H5" s="184"/>
      <c r="I5" s="182"/>
      <c r="J5" s="57"/>
      <c r="K5" s="245"/>
      <c r="L5" s="57"/>
      <c r="M5" s="62" t="str">
        <f>IF(K5&gt;0.1,"MOSTRAR","OCULTAR")</f>
        <v>OCULTAR</v>
      </c>
      <c r="N5" s="62"/>
      <c r="O5" s="62"/>
      <c r="P5" s="62"/>
      <c r="Q5" s="62"/>
      <c r="R5" s="62"/>
      <c r="S5" s="62"/>
    </row>
    <row r="6" spans="2:24" ht="18" customHeight="1" x14ac:dyDescent="0.35">
      <c r="B6" s="250">
        <f>IF(K6&gt;0,1,0)</f>
        <v>1</v>
      </c>
      <c r="C6" s="252"/>
      <c r="D6" s="251" t="s">
        <v>30</v>
      </c>
      <c r="E6" s="251"/>
      <c r="F6" s="266">
        <f>IF(K6&gt;1,1,0)</f>
        <v>1</v>
      </c>
      <c r="G6" s="252"/>
      <c r="H6" s="252"/>
      <c r="I6" s="252"/>
      <c r="J6" s="252"/>
      <c r="K6" s="253">
        <f>J7+J22+J39+J13+J29</f>
        <v>1198</v>
      </c>
      <c r="L6" s="63"/>
      <c r="M6" s="62" t="str">
        <f>IF(F6&gt;0.1,"MOSTRAR","OCULTAR")</f>
        <v>MOSTRAR</v>
      </c>
      <c r="N6" s="62"/>
      <c r="O6" s="62"/>
      <c r="P6" s="62"/>
      <c r="Q6" s="62"/>
      <c r="R6" s="62"/>
      <c r="S6" s="62"/>
    </row>
    <row r="7" spans="2:24" ht="18" customHeight="1" x14ac:dyDescent="0.35">
      <c r="B7" s="230">
        <f>IF(J7&gt;0,B6+0.1,B6)</f>
        <v>1.1000000000000001</v>
      </c>
      <c r="C7" s="258"/>
      <c r="D7" s="278" t="s">
        <v>507</v>
      </c>
      <c r="E7" s="278"/>
      <c r="F7" s="269">
        <f>IF(J7&gt;1,1,0)</f>
        <v>1</v>
      </c>
      <c r="G7" s="258"/>
      <c r="H7" s="279"/>
      <c r="I7" s="274"/>
      <c r="J7" s="274">
        <f>SUM(I8:I12)</f>
        <v>1198</v>
      </c>
      <c r="K7" s="280"/>
      <c r="M7" s="62" t="str">
        <f>IF(J7&gt;0.1,"MOSTRAR","OCULTAR")</f>
        <v>MOSTRAR</v>
      </c>
      <c r="N7" s="62"/>
      <c r="O7" s="62"/>
      <c r="P7" s="62"/>
      <c r="Q7" s="62"/>
      <c r="R7" s="62"/>
      <c r="S7" s="62"/>
    </row>
    <row r="8" spans="2:24" ht="96.75" hidden="1" customHeight="1" x14ac:dyDescent="0.35">
      <c r="B8" s="231"/>
      <c r="C8" s="423"/>
      <c r="D8" s="244" t="s">
        <v>777</v>
      </c>
      <c r="E8" s="228" t="s">
        <v>508</v>
      </c>
      <c r="F8" s="268">
        <f>'PRECIO DEL METRAJE'!E9</f>
        <v>0</v>
      </c>
      <c r="G8" s="225" t="s">
        <v>509</v>
      </c>
      <c r="H8" s="272">
        <f>'PRECIO DEL METRAJE'!K9</f>
        <v>81.01700000000001</v>
      </c>
      <c r="I8" s="272">
        <f>'PRECIO DEL METRAJE'!M9</f>
        <v>0</v>
      </c>
      <c r="J8" s="270"/>
      <c r="K8" s="280"/>
      <c r="M8" s="225" t="str">
        <f t="shared" si="0"/>
        <v>OCULTAR</v>
      </c>
      <c r="N8" s="62"/>
      <c r="O8" s="62"/>
      <c r="P8" s="62"/>
      <c r="Q8" s="62"/>
      <c r="R8" s="62"/>
      <c r="S8" s="62"/>
      <c r="X8" s="60"/>
    </row>
    <row r="9" spans="2:24" ht="96.75" hidden="1" customHeight="1" x14ac:dyDescent="0.35">
      <c r="B9" s="231"/>
      <c r="C9" s="423"/>
      <c r="D9" s="244" t="s">
        <v>778</v>
      </c>
      <c r="E9" s="228" t="s">
        <v>508</v>
      </c>
      <c r="F9" s="268">
        <f>'PRECIO DEL METRAJE'!E10</f>
        <v>0</v>
      </c>
      <c r="G9" s="225" t="s">
        <v>509</v>
      </c>
      <c r="H9" s="272">
        <f>'PRECIO DEL METRAJE'!K10</f>
        <v>102.89999999999999</v>
      </c>
      <c r="I9" s="272">
        <f>'PRECIO DEL METRAJE'!M10</f>
        <v>0</v>
      </c>
      <c r="J9" s="270"/>
      <c r="K9" s="280"/>
      <c r="M9" s="225" t="str">
        <f t="shared" si="0"/>
        <v>OCULTAR</v>
      </c>
      <c r="N9" s="62"/>
      <c r="O9" s="62"/>
      <c r="P9" s="62"/>
      <c r="Q9" s="62"/>
      <c r="R9" s="62" t="s">
        <v>95</v>
      </c>
      <c r="S9" s="62"/>
      <c r="X9" s="60"/>
    </row>
    <row r="10" spans="2:24" ht="91.5" customHeight="1" x14ac:dyDescent="0.35">
      <c r="B10" s="231"/>
      <c r="C10" s="423"/>
      <c r="D10" s="244" t="s">
        <v>779</v>
      </c>
      <c r="E10" s="228" t="s">
        <v>1221</v>
      </c>
      <c r="F10" s="268">
        <f>'PRECIO DEL METRAJE'!E11</f>
        <v>20</v>
      </c>
      <c r="G10" s="225" t="s">
        <v>509</v>
      </c>
      <c r="H10" s="272">
        <f>'PRECIO DEL METRAJE'!K11</f>
        <v>59.9</v>
      </c>
      <c r="I10" s="272">
        <f>'PRECIO DEL METRAJE'!M11</f>
        <v>1198</v>
      </c>
      <c r="J10" s="270"/>
      <c r="K10" s="280"/>
      <c r="M10" s="225" t="str">
        <f t="shared" si="0"/>
        <v>MOSTRAR</v>
      </c>
      <c r="N10" s="62"/>
      <c r="O10" s="62"/>
      <c r="P10" s="62"/>
      <c r="Q10" s="62"/>
      <c r="R10" s="62"/>
      <c r="S10" s="62"/>
      <c r="X10" s="60"/>
    </row>
    <row r="11" spans="2:24" ht="96.75" hidden="1" customHeight="1" x14ac:dyDescent="0.35">
      <c r="B11" s="231"/>
      <c r="C11" s="423"/>
      <c r="D11" s="244" t="s">
        <v>934</v>
      </c>
      <c r="E11" s="228" t="s">
        <v>1221</v>
      </c>
      <c r="F11" s="268">
        <f>'PRECIO DEL METRAJE'!E12</f>
        <v>0</v>
      </c>
      <c r="G11" s="225" t="s">
        <v>509</v>
      </c>
      <c r="H11" s="272">
        <f>'PRECIO DEL METRAJE'!K12</f>
        <v>63.2</v>
      </c>
      <c r="I11" s="272">
        <f>'PRECIO DEL METRAJE'!M12</f>
        <v>0</v>
      </c>
      <c r="J11" s="270"/>
      <c r="K11" s="280"/>
      <c r="M11" s="225" t="str">
        <f t="shared" si="0"/>
        <v>OCULTAR</v>
      </c>
      <c r="N11" s="62"/>
      <c r="O11" s="62"/>
      <c r="P11" s="62"/>
      <c r="Q11" s="62"/>
      <c r="R11" s="62"/>
      <c r="S11" s="62"/>
      <c r="X11" s="60"/>
    </row>
    <row r="12" spans="2:24" ht="96.75" hidden="1" customHeight="1" x14ac:dyDescent="0.35">
      <c r="B12" s="231"/>
      <c r="C12" s="423"/>
      <c r="D12" s="244" t="s">
        <v>935</v>
      </c>
      <c r="E12" s="228" t="s">
        <v>1221</v>
      </c>
      <c r="F12" s="268">
        <f>'PRECIO DEL METRAJE'!E13</f>
        <v>0</v>
      </c>
      <c r="G12" s="225" t="s">
        <v>509</v>
      </c>
      <c r="H12" s="272">
        <f>'PRECIO DEL METRAJE'!K13</f>
        <v>69</v>
      </c>
      <c r="I12" s="272">
        <f>'PRECIO DEL METRAJE'!M13</f>
        <v>0</v>
      </c>
      <c r="J12" s="270"/>
      <c r="K12" s="280"/>
      <c r="M12" s="225" t="str">
        <f t="shared" si="0"/>
        <v>OCULTAR</v>
      </c>
      <c r="N12" s="62"/>
      <c r="O12" s="62"/>
      <c r="P12" s="62"/>
      <c r="Q12" s="62"/>
      <c r="R12" s="62"/>
      <c r="S12" s="62"/>
      <c r="X12" s="60"/>
    </row>
    <row r="13" spans="2:24" ht="14.5" hidden="1" x14ac:dyDescent="0.35">
      <c r="B13" s="230"/>
      <c r="C13" s="286"/>
      <c r="D13" s="262" t="s">
        <v>1010</v>
      </c>
      <c r="E13" s="286"/>
      <c r="F13" s="543">
        <f>IF(J13&gt;1,1,0)</f>
        <v>0</v>
      </c>
      <c r="G13" s="259"/>
      <c r="H13" s="259"/>
      <c r="I13" s="259"/>
      <c r="J13" s="277">
        <f>SUM(I14:I21)</f>
        <v>0</v>
      </c>
      <c r="K13" s="280"/>
      <c r="M13" s="62" t="str">
        <f>IF(J13&gt;0.1,"MOSTRAR","OCULTAR")</f>
        <v>OCULTAR</v>
      </c>
      <c r="N13" s="62"/>
      <c r="O13" s="545"/>
      <c r="P13" s="62"/>
      <c r="Q13" s="62"/>
      <c r="R13" s="62"/>
      <c r="S13" s="62"/>
      <c r="X13" s="60"/>
    </row>
    <row r="14" spans="2:24" ht="81" hidden="1" customHeight="1" x14ac:dyDescent="0.35">
      <c r="B14" s="231"/>
      <c r="C14" s="423"/>
      <c r="D14" s="229" t="s">
        <v>511</v>
      </c>
      <c r="E14" s="228"/>
      <c r="F14" s="268">
        <f>'PRECIO DEL METRAJE'!E24</f>
        <v>0</v>
      </c>
      <c r="G14" s="225" t="s">
        <v>512</v>
      </c>
      <c r="H14" s="272">
        <f>'PRECIO DEL METRAJE'!K24</f>
        <v>49.300000000000004</v>
      </c>
      <c r="I14" s="272">
        <f>'PRECIO DEL METRAJE'!M24</f>
        <v>0</v>
      </c>
      <c r="J14" s="270"/>
      <c r="K14" s="280"/>
      <c r="M14" s="225" t="str">
        <f t="shared" si="0"/>
        <v>OCULTAR</v>
      </c>
      <c r="N14" s="62"/>
      <c r="O14" s="62"/>
      <c r="P14" s="62"/>
      <c r="Q14" s="62"/>
      <c r="R14" s="62"/>
      <c r="S14" s="62"/>
      <c r="X14" s="60"/>
    </row>
    <row r="15" spans="2:24" ht="18" hidden="1" customHeight="1" x14ac:dyDescent="0.35">
      <c r="B15" s="231"/>
      <c r="C15" s="225"/>
      <c r="D15" s="229" t="s">
        <v>513</v>
      </c>
      <c r="E15" s="228"/>
      <c r="F15" s="268">
        <f>'PRECIO DEL METRAJE'!E25</f>
        <v>0</v>
      </c>
      <c r="G15" s="225" t="s">
        <v>512</v>
      </c>
      <c r="H15" s="272">
        <f>'PRECIO DEL METRAJE'!K25</f>
        <v>7.6999999999999993</v>
      </c>
      <c r="I15" s="272">
        <f>'PRECIO DEL METRAJE'!M25</f>
        <v>0</v>
      </c>
      <c r="J15" s="270"/>
      <c r="K15" s="280"/>
      <c r="M15" s="225" t="str">
        <f t="shared" si="0"/>
        <v>OCULTAR</v>
      </c>
      <c r="N15" s="62"/>
      <c r="O15" s="62"/>
      <c r="P15" s="62"/>
      <c r="Q15" s="62"/>
      <c r="R15" s="62"/>
      <c r="S15" s="62"/>
      <c r="X15" s="60"/>
    </row>
    <row r="16" spans="2:24" ht="18.75" hidden="1" customHeight="1" x14ac:dyDescent="0.35">
      <c r="B16" s="231"/>
      <c r="C16" s="225"/>
      <c r="D16" s="229" t="s">
        <v>514</v>
      </c>
      <c r="E16" s="228"/>
      <c r="F16" s="268">
        <f>'PRECIO DEL METRAJE'!E26</f>
        <v>0</v>
      </c>
      <c r="G16" s="225" t="s">
        <v>512</v>
      </c>
      <c r="H16" s="272">
        <f>'PRECIO DEL METRAJE'!K26</f>
        <v>1.3</v>
      </c>
      <c r="I16" s="272">
        <f>'PRECIO DEL METRAJE'!M26</f>
        <v>0</v>
      </c>
      <c r="J16" s="270"/>
      <c r="K16" s="280"/>
      <c r="M16" s="225" t="str">
        <f t="shared" si="0"/>
        <v>OCULTAR</v>
      </c>
      <c r="N16" s="62"/>
      <c r="O16" s="62"/>
      <c r="P16" s="62"/>
      <c r="Q16" s="62"/>
      <c r="R16" s="62"/>
      <c r="S16" s="62"/>
      <c r="X16" s="60"/>
    </row>
    <row r="17" spans="2:26" ht="74.25" hidden="1" customHeight="1" x14ac:dyDescent="0.35">
      <c r="B17" s="231"/>
      <c r="C17" s="225"/>
      <c r="D17" s="229" t="s">
        <v>937</v>
      </c>
      <c r="E17" s="228"/>
      <c r="F17" s="268">
        <f>'PRECIO DEL METRAJE'!E27</f>
        <v>0</v>
      </c>
      <c r="G17" s="225" t="s">
        <v>509</v>
      </c>
      <c r="H17" s="272">
        <f>'PRECIO DEL METRAJE'!K27</f>
        <v>50</v>
      </c>
      <c r="I17" s="272">
        <f>'PRECIO DEL METRAJE'!M27</f>
        <v>0</v>
      </c>
      <c r="J17" s="270"/>
      <c r="K17" s="280"/>
      <c r="M17" s="225" t="str">
        <f t="shared" si="0"/>
        <v>OCULTAR</v>
      </c>
      <c r="N17" s="62"/>
      <c r="O17" s="62"/>
      <c r="P17" s="62"/>
      <c r="Q17" s="62"/>
      <c r="R17" s="62"/>
      <c r="S17" s="62"/>
      <c r="X17" s="60"/>
    </row>
    <row r="18" spans="2:26" ht="75" hidden="1" customHeight="1" x14ac:dyDescent="0.35">
      <c r="B18" s="231"/>
      <c r="C18" s="225"/>
      <c r="D18" s="229" t="s">
        <v>938</v>
      </c>
      <c r="E18" s="228"/>
      <c r="F18" s="268">
        <f>'PRECIO DEL METRAJE'!E28</f>
        <v>0</v>
      </c>
      <c r="G18" s="225" t="s">
        <v>509</v>
      </c>
      <c r="H18" s="272">
        <f>'PRECIO DEL METRAJE'!K28</f>
        <v>63.4</v>
      </c>
      <c r="I18" s="272">
        <f>'PRECIO DEL METRAJE'!M28</f>
        <v>0</v>
      </c>
      <c r="J18" s="270"/>
      <c r="K18" s="280"/>
      <c r="M18" s="225" t="str">
        <f t="shared" si="0"/>
        <v>OCULTAR</v>
      </c>
      <c r="N18" s="62"/>
      <c r="O18" s="62"/>
      <c r="P18" s="62"/>
      <c r="Q18" s="62"/>
      <c r="R18" s="62"/>
      <c r="S18" s="62"/>
      <c r="X18" s="60"/>
    </row>
    <row r="19" spans="2:26" ht="75.75" hidden="1" customHeight="1" x14ac:dyDescent="0.35">
      <c r="B19" s="231"/>
      <c r="D19" s="229" t="s">
        <v>939</v>
      </c>
      <c r="E19" s="228"/>
      <c r="F19" s="268">
        <f>'PRECIO DEL METRAJE'!E29</f>
        <v>0</v>
      </c>
      <c r="G19" s="225" t="s">
        <v>509</v>
      </c>
      <c r="H19" s="272">
        <f>'PRECIO DEL METRAJE'!K29</f>
        <v>56.7</v>
      </c>
      <c r="I19" s="272">
        <f>'PRECIO DEL METRAJE'!M29</f>
        <v>0</v>
      </c>
      <c r="J19" s="270"/>
      <c r="K19" s="280"/>
      <c r="M19" s="225" t="str">
        <f t="shared" si="0"/>
        <v>OCULTAR</v>
      </c>
      <c r="N19" s="62"/>
      <c r="O19" s="62"/>
      <c r="P19" s="62"/>
      <c r="Q19" s="62"/>
      <c r="R19" s="62"/>
      <c r="S19" s="62"/>
      <c r="X19" s="60"/>
    </row>
    <row r="20" spans="2:26" ht="74.25" hidden="1" customHeight="1" x14ac:dyDescent="0.35">
      <c r="B20" s="231"/>
      <c r="D20" s="229" t="s">
        <v>940</v>
      </c>
      <c r="E20" s="228"/>
      <c r="F20" s="546">
        <f>'PRECIO DEL METRAJE'!E30</f>
        <v>0</v>
      </c>
      <c r="G20" s="225" t="s">
        <v>509</v>
      </c>
      <c r="H20" s="272">
        <f>'PRECIO DEL METRAJE'!K30</f>
        <v>73.399999999999991</v>
      </c>
      <c r="I20" s="272">
        <f>'PRECIO DEL METRAJE'!M30</f>
        <v>0</v>
      </c>
      <c r="J20" s="270"/>
      <c r="K20" s="280"/>
      <c r="M20" s="225" t="str">
        <f t="shared" si="0"/>
        <v>OCULTAR</v>
      </c>
      <c r="N20" s="62"/>
      <c r="O20" s="62"/>
      <c r="P20" s="62"/>
      <c r="Q20" s="62"/>
      <c r="R20" s="62"/>
      <c r="S20" s="62"/>
      <c r="X20" s="60"/>
    </row>
    <row r="21" spans="2:26" ht="15.75" hidden="1" customHeight="1" x14ac:dyDescent="0.35">
      <c r="B21" s="231"/>
      <c r="C21" s="423"/>
      <c r="D21" s="244"/>
      <c r="E21" s="228"/>
      <c r="F21" s="268"/>
      <c r="G21" s="225"/>
      <c r="H21" s="272"/>
      <c r="I21" s="272"/>
      <c r="J21" s="270"/>
      <c r="K21" s="280"/>
      <c r="M21" s="225" t="str">
        <f t="shared" si="0"/>
        <v>OCULTAR</v>
      </c>
      <c r="N21" s="62"/>
      <c r="O21" s="62"/>
      <c r="P21" s="62"/>
      <c r="Q21" s="62"/>
      <c r="R21" s="62"/>
      <c r="S21" s="62"/>
      <c r="X21" s="60"/>
    </row>
    <row r="22" spans="2:26" ht="12.75" hidden="1" customHeight="1" x14ac:dyDescent="0.35">
      <c r="B22" s="230">
        <f>IF(J22&gt;0,B7+0.1,B7)</f>
        <v>1.1000000000000001</v>
      </c>
      <c r="C22" s="258"/>
      <c r="D22" s="278" t="s">
        <v>510</v>
      </c>
      <c r="E22" s="278"/>
      <c r="F22" s="269">
        <f>IF(J22&gt;1,1,0)</f>
        <v>0</v>
      </c>
      <c r="G22" s="258"/>
      <c r="H22" s="279"/>
      <c r="I22" s="274"/>
      <c r="J22" s="274">
        <f>SUM(I23:I27)</f>
        <v>0</v>
      </c>
      <c r="K22" s="280"/>
      <c r="M22" s="62" t="str">
        <f>IF(J22&gt;0.1,"MOSTRAR","OCULTAR")</f>
        <v>OCULTAR</v>
      </c>
      <c r="P22" s="62"/>
      <c r="Q22" s="62"/>
      <c r="R22" s="62"/>
      <c r="S22" s="62"/>
      <c r="X22" s="60"/>
    </row>
    <row r="23" spans="2:26" ht="73.5" hidden="1" customHeight="1" x14ac:dyDescent="0.35">
      <c r="B23" s="230"/>
      <c r="C23" s="423"/>
      <c r="D23" s="235" t="s">
        <v>781</v>
      </c>
      <c r="E23" s="225"/>
      <c r="F23" s="268">
        <f>'PRECIO DEL METRAJE'!E17</f>
        <v>0</v>
      </c>
      <c r="G23" s="225" t="s">
        <v>509</v>
      </c>
      <c r="H23" s="272">
        <f>'PRECIO DEL METRAJE'!K17</f>
        <v>58.5</v>
      </c>
      <c r="I23" s="272">
        <f>'PRECIO DEL METRAJE'!M17</f>
        <v>0</v>
      </c>
      <c r="J23" s="270"/>
      <c r="K23" s="280"/>
      <c r="M23" s="225" t="str">
        <f t="shared" ref="M23" si="1">IF(F23&gt;0.1,"MOSTRAR","OCULTAR")</f>
        <v>OCULTAR</v>
      </c>
      <c r="N23" s="62"/>
      <c r="O23" s="62"/>
      <c r="P23" s="62"/>
      <c r="Q23" s="62"/>
      <c r="R23" s="62"/>
      <c r="S23" s="62"/>
    </row>
    <row r="24" spans="2:26" ht="82.5" hidden="1" customHeight="1" x14ac:dyDescent="0.35">
      <c r="B24" s="230"/>
      <c r="C24" s="423"/>
      <c r="D24" s="235" t="s">
        <v>782</v>
      </c>
      <c r="E24" s="225"/>
      <c r="F24" s="268">
        <f>'PRECIO DEL METRAJE'!E18</f>
        <v>0</v>
      </c>
      <c r="G24" s="225" t="s">
        <v>936</v>
      </c>
      <c r="H24" s="272">
        <f>'PRECIO DEL METRAJE'!K18</f>
        <v>62.4</v>
      </c>
      <c r="I24" s="272">
        <f>'PRECIO DEL METRAJE'!M18</f>
        <v>0</v>
      </c>
      <c r="J24" s="270"/>
      <c r="K24" s="280"/>
      <c r="M24" s="225" t="str">
        <f t="shared" ref="M24:M25" si="2">IF(F24&gt;0.1,"MOSTRAR","OCULTAR")</f>
        <v>OCULTAR</v>
      </c>
      <c r="N24" s="62"/>
      <c r="O24" s="62"/>
      <c r="P24" s="62"/>
      <c r="Q24" s="62"/>
      <c r="R24" s="62"/>
      <c r="S24" s="62"/>
      <c r="Y24" s="58"/>
      <c r="Z24" s="62"/>
    </row>
    <row r="25" spans="2:26" ht="91.5" hidden="1" customHeight="1" x14ac:dyDescent="0.35">
      <c r="B25" s="230"/>
      <c r="C25" s="423"/>
      <c r="D25" s="235" t="s">
        <v>780</v>
      </c>
      <c r="E25" s="225"/>
      <c r="F25" s="268">
        <f>'PRECIO DEL METRAJE'!E19</f>
        <v>0</v>
      </c>
      <c r="G25" s="225" t="s">
        <v>509</v>
      </c>
      <c r="H25" s="272">
        <f>'PRECIO DEL METRAJE'!K19</f>
        <v>40.9</v>
      </c>
      <c r="I25" s="272">
        <f>'PRECIO DEL METRAJE'!M19</f>
        <v>0</v>
      </c>
      <c r="J25" s="270"/>
      <c r="K25" s="280"/>
      <c r="M25" s="225" t="str">
        <f t="shared" si="2"/>
        <v>OCULTAR</v>
      </c>
      <c r="N25" s="62"/>
      <c r="O25" s="62"/>
      <c r="P25" s="62"/>
      <c r="Q25" s="62"/>
      <c r="R25" s="62"/>
      <c r="S25" s="62"/>
      <c r="Y25" s="58"/>
      <c r="Z25" s="62"/>
    </row>
    <row r="26" spans="2:26" ht="87" hidden="1" customHeight="1" x14ac:dyDescent="0.35">
      <c r="B26" s="230"/>
      <c r="C26" s="423"/>
      <c r="D26" s="235" t="s">
        <v>783</v>
      </c>
      <c r="E26" s="225"/>
      <c r="F26" s="268">
        <f>'PRECIO DEL METRAJE'!E20</f>
        <v>0</v>
      </c>
      <c r="G26" s="225" t="s">
        <v>509</v>
      </c>
      <c r="H26" s="272">
        <f>'PRECIO DEL METRAJE'!K20</f>
        <v>46</v>
      </c>
      <c r="I26" s="272">
        <f>'PRECIO DEL METRAJE'!M20</f>
        <v>0</v>
      </c>
      <c r="J26" s="270"/>
      <c r="K26" s="280"/>
      <c r="M26" s="225" t="str">
        <f t="shared" ref="M26" si="3">IF(F26&gt;0.1,"MOSTRAR","OCULTAR")</f>
        <v>OCULTAR</v>
      </c>
      <c r="N26" s="62"/>
      <c r="O26" s="62"/>
      <c r="P26" s="62"/>
      <c r="Q26" s="62"/>
      <c r="R26" s="62"/>
      <c r="S26" s="62"/>
    </row>
    <row r="27" spans="2:26" ht="72.5" hidden="1" x14ac:dyDescent="0.35">
      <c r="B27" s="230"/>
      <c r="C27" s="423"/>
      <c r="D27" s="235" t="s">
        <v>784</v>
      </c>
      <c r="E27" s="225"/>
      <c r="F27" s="268">
        <f>'PRECIO DEL METRAJE'!E21</f>
        <v>0</v>
      </c>
      <c r="G27" s="225" t="s">
        <v>509</v>
      </c>
      <c r="H27" s="272">
        <f>'PRECIO DEL METRAJE'!K21</f>
        <v>50.4</v>
      </c>
      <c r="I27" s="272">
        <f>'PRECIO DEL METRAJE'!M21</f>
        <v>0</v>
      </c>
      <c r="J27" s="270"/>
      <c r="K27" s="280"/>
      <c r="M27" s="225" t="str">
        <f t="shared" ref="M27" si="4">IF(F27&gt;0.1,"MOSTRAR","OCULTAR")</f>
        <v>OCULTAR</v>
      </c>
      <c r="N27" s="62"/>
      <c r="O27" s="62"/>
      <c r="P27" s="62"/>
      <c r="Q27" s="62"/>
      <c r="R27" s="62"/>
      <c r="S27" s="62"/>
    </row>
    <row r="28" spans="2:26" ht="19.5" hidden="1" customHeight="1" x14ac:dyDescent="0.35">
      <c r="B28" s="230"/>
      <c r="C28" s="423"/>
      <c r="D28" s="229"/>
      <c r="E28" s="225"/>
      <c r="F28" s="225"/>
      <c r="G28" s="225"/>
      <c r="H28" s="272"/>
      <c r="I28" s="272"/>
      <c r="J28" s="270"/>
      <c r="K28" s="280"/>
      <c r="M28" s="62" t="str">
        <f t="shared" ref="M28" si="5">IF(F28&gt;0.1,"MOSTRAR","OCULTAR")</f>
        <v>OCULTAR</v>
      </c>
      <c r="N28" s="62"/>
      <c r="O28" s="62"/>
      <c r="P28" s="62"/>
      <c r="Q28" s="62"/>
      <c r="R28" s="62"/>
      <c r="S28" s="62"/>
    </row>
    <row r="29" spans="2:26" ht="14.5" hidden="1" x14ac:dyDescent="0.35">
      <c r="B29" s="230"/>
      <c r="C29" s="286"/>
      <c r="D29" s="262" t="s">
        <v>1011</v>
      </c>
      <c r="E29" s="286"/>
      <c r="F29" s="543">
        <f>IF(J29&gt;1,1,0)</f>
        <v>0</v>
      </c>
      <c r="G29" s="259"/>
      <c r="H29" s="259"/>
      <c r="I29" s="259"/>
      <c r="J29" s="277">
        <f>SUM(I30:I36)</f>
        <v>0</v>
      </c>
      <c r="K29" s="280"/>
      <c r="M29" s="62" t="str">
        <f>IF(J29&gt;0.1,"MOSTRAR","OCULTAR")</f>
        <v>OCULTAR</v>
      </c>
      <c r="N29" s="62"/>
      <c r="O29" s="545"/>
      <c r="P29" s="62"/>
      <c r="Q29" s="62"/>
      <c r="R29" s="62"/>
      <c r="S29" s="62"/>
    </row>
    <row r="30" spans="2:26" ht="78.75" hidden="1" customHeight="1" x14ac:dyDescent="0.35">
      <c r="B30" s="230"/>
      <c r="C30" s="423"/>
      <c r="D30" s="229" t="s">
        <v>511</v>
      </c>
      <c r="E30" s="225"/>
      <c r="F30" s="268">
        <f>'PRECIO DEL METRAJE'!E34</f>
        <v>0</v>
      </c>
      <c r="G30" s="225" t="s">
        <v>512</v>
      </c>
      <c r="H30" s="272">
        <f>'PRECIO DEL METRAJE'!K34</f>
        <v>49.300000000000004</v>
      </c>
      <c r="I30" s="272">
        <f>'PRECIO DEL METRAJE'!M34</f>
        <v>0</v>
      </c>
      <c r="J30" s="270"/>
      <c r="K30" s="280"/>
      <c r="M30" s="225" t="str">
        <f t="shared" ref="M30:M38" si="6">IF(F30&gt;0.1,"MOSTRAR","OCULTAR")</f>
        <v>OCULTAR</v>
      </c>
      <c r="N30" s="62"/>
      <c r="O30" s="62"/>
      <c r="P30" s="62"/>
      <c r="Q30" s="62"/>
      <c r="R30" s="62"/>
      <c r="S30" s="62"/>
    </row>
    <row r="31" spans="2:26" ht="16.5" hidden="1" x14ac:dyDescent="0.35">
      <c r="B31" s="230"/>
      <c r="C31" s="225"/>
      <c r="D31" s="420" t="s">
        <v>513</v>
      </c>
      <c r="E31" s="225"/>
      <c r="F31" s="268">
        <f>'PRECIO DEL METRAJE'!E35</f>
        <v>0</v>
      </c>
      <c r="G31" s="225" t="s">
        <v>512</v>
      </c>
      <c r="H31" s="272">
        <f>'PRECIO DEL METRAJE'!K35</f>
        <v>7.6999999999999993</v>
      </c>
      <c r="I31" s="272">
        <f>'PRECIO DEL METRAJE'!M35</f>
        <v>0</v>
      </c>
      <c r="J31" s="270"/>
      <c r="K31" s="280"/>
      <c r="M31" s="225" t="str">
        <f t="shared" si="6"/>
        <v>OCULTAR</v>
      </c>
      <c r="N31" s="62"/>
      <c r="O31" s="62"/>
      <c r="P31" s="62"/>
      <c r="Q31" s="62"/>
      <c r="R31" s="62"/>
      <c r="S31" s="62"/>
    </row>
    <row r="32" spans="2:26" ht="16.5" hidden="1" x14ac:dyDescent="0.35">
      <c r="B32" s="230"/>
      <c r="C32" s="225"/>
      <c r="D32" s="229" t="s">
        <v>514</v>
      </c>
      <c r="E32" s="225"/>
      <c r="F32" s="268">
        <f>'PRECIO DEL METRAJE'!E36</f>
        <v>0</v>
      </c>
      <c r="G32" s="225" t="s">
        <v>512</v>
      </c>
      <c r="H32" s="272">
        <f>'PRECIO DEL METRAJE'!K36</f>
        <v>1.3</v>
      </c>
      <c r="I32" s="272">
        <f>'PRECIO DEL METRAJE'!M36</f>
        <v>0</v>
      </c>
      <c r="J32" s="270"/>
      <c r="K32" s="280"/>
      <c r="M32" s="225" t="str">
        <f t="shared" si="6"/>
        <v>OCULTAR</v>
      </c>
      <c r="N32" s="62"/>
      <c r="O32" s="62"/>
      <c r="P32" s="62"/>
      <c r="Q32" s="62"/>
      <c r="R32" s="62"/>
      <c r="S32" s="62"/>
    </row>
    <row r="33" spans="2:19" ht="84.75" hidden="1" customHeight="1" x14ac:dyDescent="0.35">
      <c r="B33" s="230"/>
      <c r="C33" s="225"/>
      <c r="D33" s="229" t="s">
        <v>937</v>
      </c>
      <c r="E33" s="225"/>
      <c r="F33" s="268">
        <f>'PRECIO DEL METRAJE'!E37</f>
        <v>0</v>
      </c>
      <c r="G33" s="225" t="s">
        <v>509</v>
      </c>
      <c r="H33" s="272">
        <f>'PRECIO DEL METRAJE'!K37</f>
        <v>50</v>
      </c>
      <c r="I33" s="272">
        <f>'PRECIO DEL METRAJE'!M37</f>
        <v>0</v>
      </c>
      <c r="J33" s="270"/>
      <c r="K33" s="280"/>
      <c r="M33" s="225" t="str">
        <f t="shared" si="6"/>
        <v>OCULTAR</v>
      </c>
      <c r="N33" s="62"/>
      <c r="O33" s="62"/>
      <c r="P33" s="62"/>
      <c r="Q33" s="62"/>
      <c r="R33" s="62"/>
      <c r="S33" s="62"/>
    </row>
    <row r="34" spans="2:19" ht="83.25" hidden="1" customHeight="1" x14ac:dyDescent="0.35">
      <c r="B34" s="230"/>
      <c r="C34" s="225"/>
      <c r="D34" s="229" t="s">
        <v>938</v>
      </c>
      <c r="E34" s="225"/>
      <c r="F34" s="268">
        <f>'PRECIO DEL METRAJE'!E38</f>
        <v>0</v>
      </c>
      <c r="G34" s="225" t="s">
        <v>509</v>
      </c>
      <c r="H34" s="272">
        <f>'PRECIO DEL METRAJE'!K38</f>
        <v>63.4</v>
      </c>
      <c r="I34" s="272">
        <f>'PRECIO DEL METRAJE'!M38</f>
        <v>0</v>
      </c>
      <c r="J34" s="270"/>
      <c r="K34" s="280"/>
      <c r="M34" s="225" t="str">
        <f t="shared" si="6"/>
        <v>OCULTAR</v>
      </c>
      <c r="N34" s="62"/>
      <c r="O34" s="62"/>
      <c r="P34" s="62"/>
      <c r="Q34" s="62"/>
      <c r="R34" s="62"/>
      <c r="S34" s="62"/>
    </row>
    <row r="35" spans="2:19" ht="81.75" hidden="1" customHeight="1" x14ac:dyDescent="0.35">
      <c r="B35" s="230"/>
      <c r="D35" s="229" t="s">
        <v>939</v>
      </c>
      <c r="F35" s="268">
        <f>'PRECIO DEL METRAJE'!E39</f>
        <v>0</v>
      </c>
      <c r="G35" s="225" t="s">
        <v>509</v>
      </c>
      <c r="H35" s="272">
        <f>'PRECIO DEL METRAJE'!K39</f>
        <v>56.7</v>
      </c>
      <c r="I35" s="272">
        <f>'PRECIO DEL METRAJE'!M39</f>
        <v>0</v>
      </c>
      <c r="K35" s="280"/>
      <c r="M35" s="225" t="str">
        <f t="shared" si="6"/>
        <v>OCULTAR</v>
      </c>
      <c r="N35" s="62"/>
      <c r="O35" s="62"/>
      <c r="P35" s="62"/>
      <c r="Q35" s="62"/>
      <c r="R35" s="62"/>
      <c r="S35" s="62"/>
    </row>
    <row r="36" spans="2:19" ht="90" hidden="1" customHeight="1" x14ac:dyDescent="0.35">
      <c r="B36" s="230"/>
      <c r="D36" s="229" t="s">
        <v>940</v>
      </c>
      <c r="F36" s="268">
        <f>'PRECIO DEL METRAJE'!E40</f>
        <v>0</v>
      </c>
      <c r="G36" s="225" t="s">
        <v>509</v>
      </c>
      <c r="H36" s="272">
        <f>'PRECIO DEL METRAJE'!K40</f>
        <v>73.399999999999991</v>
      </c>
      <c r="I36" s="272">
        <f>'PRECIO DEL METRAJE'!M40</f>
        <v>0</v>
      </c>
      <c r="K36" s="280"/>
      <c r="M36" s="225" t="str">
        <f t="shared" si="6"/>
        <v>OCULTAR</v>
      </c>
      <c r="N36" s="62"/>
      <c r="O36" s="62"/>
      <c r="P36" s="62"/>
      <c r="Q36" s="62"/>
      <c r="R36" s="62"/>
      <c r="S36" s="62"/>
    </row>
    <row r="37" spans="2:19" ht="18" hidden="1" customHeight="1" x14ac:dyDescent="0.35">
      <c r="B37" s="230"/>
      <c r="K37" s="280"/>
      <c r="M37" s="225" t="str">
        <f t="shared" si="6"/>
        <v>OCULTAR</v>
      </c>
      <c r="N37" s="62"/>
      <c r="O37" s="62"/>
      <c r="P37" s="62"/>
      <c r="Q37" s="62"/>
      <c r="R37" s="62"/>
      <c r="S37" s="62"/>
    </row>
    <row r="38" spans="2:19" ht="18" hidden="1" customHeight="1" x14ac:dyDescent="0.35">
      <c r="B38" s="230"/>
      <c r="K38" s="280"/>
      <c r="M38" s="225" t="str">
        <f t="shared" si="6"/>
        <v>OCULTAR</v>
      </c>
      <c r="N38" s="62"/>
      <c r="O38" s="62"/>
      <c r="P38" s="62"/>
      <c r="Q38" s="62"/>
      <c r="R38" s="62"/>
      <c r="S38" s="62"/>
    </row>
    <row r="39" spans="2:19" ht="18" hidden="1" customHeight="1" x14ac:dyDescent="0.35">
      <c r="B39" s="230">
        <f>IF(J39&gt;0,B22+0.1,B22)</f>
        <v>1.1000000000000001</v>
      </c>
      <c r="C39" s="265"/>
      <c r="D39" s="278" t="s">
        <v>57</v>
      </c>
      <c r="E39" s="258"/>
      <c r="F39" s="285">
        <f>IF(J39&gt;1,1,0)</f>
        <v>0</v>
      </c>
      <c r="G39" s="258"/>
      <c r="H39" s="274"/>
      <c r="I39" s="274"/>
      <c r="J39" s="274">
        <f>IF(N40=0,SUM(I40:I46),I40)</f>
        <v>0</v>
      </c>
      <c r="K39" s="280"/>
      <c r="M39" s="62" t="str">
        <f>IF(J39&gt;0.1,"MOSTRAR","OCULTAR")</f>
        <v>OCULTAR</v>
      </c>
      <c r="N39" s="62"/>
      <c r="O39" s="62"/>
      <c r="P39" s="62"/>
      <c r="Q39" s="62"/>
      <c r="R39" s="62"/>
      <c r="S39" s="62"/>
    </row>
    <row r="40" spans="2:19" ht="91.25" hidden="1" customHeight="1" x14ac:dyDescent="0.35">
      <c r="B40" s="231"/>
      <c r="C40" s="225"/>
      <c r="D40" s="236" t="str">
        <f>CONCATENATE("Panel acristalado tipo Full Glass, compuesto por vidrio laminado 5+5 con perfileria higienica de aluminio. Unidades totales :",METRAJE!J72," Unidades")</f>
        <v>Panel acristalado tipo Full Glass, compuesto por vidrio laminado 5+5 con perfileria higienica de aluminio. Unidades totales :0 Unidades</v>
      </c>
      <c r="E40" s="225"/>
      <c r="F40" s="268">
        <f>'PRECIO DEL METRAJE'!E44</f>
        <v>0</v>
      </c>
      <c r="G40" s="225" t="s">
        <v>217</v>
      </c>
      <c r="H40" s="272">
        <f>H41+H43+H44+H45</f>
        <v>82.6</v>
      </c>
      <c r="I40" s="272">
        <f>I41+I43+I44+I45</f>
        <v>0</v>
      </c>
      <c r="J40" s="270"/>
      <c r="K40" s="280"/>
      <c r="M40" s="237" t="str">
        <f>IF(OR(OB40&gt;0.1,N40=1),"MOSTRAR","OCULTAR")</f>
        <v>OCULTAR</v>
      </c>
      <c r="N40" s="238">
        <v>0</v>
      </c>
      <c r="O40" s="239" t="s">
        <v>515</v>
      </c>
      <c r="P40" s="62"/>
      <c r="Q40" s="62"/>
      <c r="R40" s="62"/>
      <c r="S40" s="62"/>
    </row>
    <row r="41" spans="2:19" ht="80.25" hidden="1" customHeight="1" x14ac:dyDescent="0.35">
      <c r="B41" s="231"/>
      <c r="C41" s="225"/>
      <c r="D41" s="229" t="s">
        <v>58</v>
      </c>
      <c r="E41" s="225"/>
      <c r="F41" s="268">
        <f>'PRECIO DEL METRAJE'!E44</f>
        <v>0</v>
      </c>
      <c r="G41" s="225" t="s">
        <v>509</v>
      </c>
      <c r="H41" s="272">
        <f>'PRECIO DEL METRAJE'!K44</f>
        <v>63.4</v>
      </c>
      <c r="I41" s="272">
        <f>'PRECIO DEL METRAJE'!M44</f>
        <v>0</v>
      </c>
      <c r="J41" s="270"/>
      <c r="K41" s="280"/>
      <c r="L41" s="224"/>
      <c r="M41" s="225" t="str">
        <f>IF(AND(F41&gt;0.1,$N$40=0),"MOSTRAR","OCULTAR")</f>
        <v>OCULTAR</v>
      </c>
      <c r="N41" s="62"/>
      <c r="O41" s="62"/>
      <c r="P41" s="62"/>
      <c r="Q41" s="62"/>
      <c r="R41" s="62"/>
      <c r="S41" s="62"/>
    </row>
    <row r="42" spans="2:19" ht="18" hidden="1" customHeight="1" x14ac:dyDescent="0.35">
      <c r="B42" s="231"/>
      <c r="C42" s="225"/>
      <c r="D42" s="281" t="s">
        <v>59</v>
      </c>
      <c r="E42" s="288"/>
      <c r="F42" s="268">
        <f>'PRECIO DEL METRAJE'!E45</f>
        <v>0</v>
      </c>
      <c r="G42" s="225" t="s">
        <v>215</v>
      </c>
      <c r="H42" s="272">
        <f>'PRECIO DEL METRAJE'!K45</f>
        <v>3.1</v>
      </c>
      <c r="I42" s="272">
        <f>'PRECIO DEL METRAJE'!M45</f>
        <v>0</v>
      </c>
      <c r="J42" s="270"/>
      <c r="K42" s="280"/>
      <c r="M42" s="62" t="str">
        <f>IF(F42&gt;0.1,"MOSTRAR","OCULTAR")</f>
        <v>OCULTAR</v>
      </c>
      <c r="N42" s="62"/>
      <c r="O42" s="62"/>
      <c r="P42" s="62"/>
      <c r="Q42" s="62"/>
      <c r="R42" s="62"/>
      <c r="S42" s="62"/>
    </row>
    <row r="43" spans="2:19" ht="18" hidden="1" customHeight="1" x14ac:dyDescent="0.35">
      <c r="B43" s="231"/>
      <c r="C43" s="225"/>
      <c r="D43" s="281" t="s">
        <v>61</v>
      </c>
      <c r="E43" s="288"/>
      <c r="F43" s="268">
        <f>'PRECIO DEL METRAJE'!E46</f>
        <v>0</v>
      </c>
      <c r="G43" s="225" t="s">
        <v>215</v>
      </c>
      <c r="H43" s="272">
        <f>'PRECIO DEL METRAJE'!K46</f>
        <v>14.4</v>
      </c>
      <c r="I43" s="272">
        <f>'PRECIO DEL METRAJE'!M46</f>
        <v>0</v>
      </c>
      <c r="J43" s="270"/>
      <c r="K43" s="280"/>
      <c r="M43" s="62" t="str">
        <f>IF(AND(F43&gt;0.1,$N$40=0),"MOSTRAR","OCULTAR")</f>
        <v>OCULTAR</v>
      </c>
      <c r="N43" s="62"/>
      <c r="O43" s="62"/>
      <c r="P43" s="62"/>
      <c r="Q43" s="62"/>
      <c r="R43" s="62"/>
      <c r="S43" s="62"/>
    </row>
    <row r="44" spans="2:19" ht="18" hidden="1" customHeight="1" x14ac:dyDescent="0.35">
      <c r="B44" s="231"/>
      <c r="C44" s="225"/>
      <c r="D44" s="281" t="s">
        <v>62</v>
      </c>
      <c r="E44" s="288"/>
      <c r="F44" s="268">
        <f>'PRECIO DEL METRAJE'!E47</f>
        <v>0</v>
      </c>
      <c r="G44" s="225" t="s">
        <v>215</v>
      </c>
      <c r="H44" s="272">
        <f>'PRECIO DEL METRAJE'!K47</f>
        <v>2.3000000000000003</v>
      </c>
      <c r="I44" s="272">
        <f>'PRECIO DEL METRAJE'!M47</f>
        <v>0</v>
      </c>
      <c r="J44" s="270"/>
      <c r="K44" s="280"/>
      <c r="M44" s="62" t="str">
        <f>IF(AND(F44&gt;0.1,$N$40=0),"MOSTRAR","OCULTAR")</f>
        <v>OCULTAR</v>
      </c>
      <c r="N44" s="62"/>
      <c r="O44" s="62"/>
      <c r="P44" s="62"/>
      <c r="Q44" s="62"/>
      <c r="R44" s="62"/>
      <c r="S44" s="62"/>
    </row>
    <row r="45" spans="2:19" ht="18" hidden="1" customHeight="1" x14ac:dyDescent="0.35">
      <c r="B45" s="231"/>
      <c r="C45" s="225"/>
      <c r="D45" s="281" t="s">
        <v>63</v>
      </c>
      <c r="E45" s="288"/>
      <c r="F45" s="268">
        <f>'PRECIO DEL METRAJE'!E48</f>
        <v>0</v>
      </c>
      <c r="G45" s="225" t="s">
        <v>215</v>
      </c>
      <c r="H45" s="272">
        <f>'PRECIO DEL METRAJE'!K48</f>
        <v>2.5</v>
      </c>
      <c r="I45" s="272">
        <f>'PRECIO DEL METRAJE'!M48</f>
        <v>0</v>
      </c>
      <c r="J45" s="270"/>
      <c r="K45" s="280"/>
      <c r="M45" s="62" t="str">
        <f>IF(AND(F45&gt;0.1,$N$40=0),"MOSTRAR","OCULTAR")</f>
        <v>OCULTAR</v>
      </c>
      <c r="N45" s="62"/>
      <c r="O45" s="62"/>
      <c r="P45" s="62"/>
      <c r="Q45" s="62"/>
      <c r="R45" s="62"/>
      <c r="S45" s="62"/>
    </row>
    <row r="46" spans="2:19" ht="110.5" hidden="1" customHeight="1" x14ac:dyDescent="0.35">
      <c r="B46" s="230"/>
      <c r="C46" s="225"/>
      <c r="D46" s="235" t="s">
        <v>516</v>
      </c>
      <c r="E46" s="289"/>
      <c r="F46" s="268">
        <f>'PRECIO DEL METRAJE'!E49</f>
        <v>0</v>
      </c>
      <c r="G46" s="225" t="s">
        <v>215</v>
      </c>
      <c r="H46" s="272">
        <f>'PRECIO DEL METRAJE'!K49</f>
        <v>639.70000000000005</v>
      </c>
      <c r="I46" s="272">
        <f>'PRECIO DEL METRAJE'!M49</f>
        <v>0</v>
      </c>
      <c r="J46" s="270"/>
      <c r="K46" s="280"/>
      <c r="M46" s="62" t="str">
        <f>IF(F46&gt;0.1,"MOSTRAR","OCULTAR")</f>
        <v>OCULTAR</v>
      </c>
      <c r="N46" s="62"/>
      <c r="O46" s="62"/>
      <c r="P46" s="62"/>
      <c r="Q46" s="62"/>
      <c r="R46" s="62"/>
      <c r="S46" s="62"/>
    </row>
    <row r="47" spans="2:19" ht="19.5" hidden="1" customHeight="1" x14ac:dyDescent="0.35">
      <c r="B47" s="230"/>
      <c r="C47" s="225"/>
      <c r="D47" s="235"/>
      <c r="E47" s="289"/>
      <c r="F47" s="268"/>
      <c r="G47" s="225"/>
      <c r="H47" s="272"/>
      <c r="I47" s="272"/>
      <c r="J47" s="270"/>
      <c r="K47" s="280"/>
      <c r="M47" s="62" t="str">
        <f>IF(F47&gt;0.1,"MOSTRAR","OCULTAR")</f>
        <v>OCULTAR</v>
      </c>
      <c r="N47" s="62"/>
      <c r="O47" s="62"/>
      <c r="P47" s="62"/>
      <c r="Q47" s="62"/>
      <c r="R47" s="62"/>
      <c r="S47" s="62"/>
    </row>
    <row r="48" spans="2:19" ht="20" hidden="1" customHeight="1" x14ac:dyDescent="0.35">
      <c r="B48" s="250">
        <f>IF(K48&gt;0,B6+1,B6)</f>
        <v>1</v>
      </c>
      <c r="C48" s="252"/>
      <c r="D48" s="251" t="s">
        <v>66</v>
      </c>
      <c r="E48" s="251"/>
      <c r="F48" s="266">
        <f>IF(K48&gt;1,1,0)</f>
        <v>0</v>
      </c>
      <c r="G48" s="252"/>
      <c r="H48" s="252"/>
      <c r="I48" s="252"/>
      <c r="J48" s="252"/>
      <c r="K48" s="253">
        <f>SUM(I49:I55)</f>
        <v>0</v>
      </c>
      <c r="M48" s="62" t="str">
        <f>IF(K48&gt;0.1,"MOSTRAR","OCULTAR")</f>
        <v>OCULTAR</v>
      </c>
      <c r="N48" s="62"/>
      <c r="O48" s="62"/>
      <c r="P48" s="62"/>
      <c r="Q48" s="62"/>
      <c r="R48" s="62"/>
      <c r="S48" s="62"/>
    </row>
    <row r="49" spans="2:30" ht="18" hidden="1" customHeight="1" x14ac:dyDescent="0.35">
      <c r="B49" s="230"/>
      <c r="C49" s="225"/>
      <c r="D49" s="229"/>
      <c r="E49" s="225"/>
      <c r="F49" s="493"/>
      <c r="G49" s="462"/>
      <c r="H49" s="494"/>
      <c r="I49" s="494"/>
      <c r="J49" s="495"/>
      <c r="K49" s="463"/>
      <c r="M49" s="62" t="str">
        <f>IF(F49&gt;0.1,"MOSTRAR","OCULTAR")</f>
        <v>OCULTAR</v>
      </c>
      <c r="N49" s="62"/>
      <c r="O49" s="62"/>
      <c r="P49" s="62"/>
      <c r="Q49" s="62"/>
      <c r="R49" s="62"/>
      <c r="S49" s="62"/>
    </row>
    <row r="50" spans="2:30" ht="18" hidden="1" customHeight="1" x14ac:dyDescent="0.35">
      <c r="B50" s="230"/>
      <c r="C50" s="225"/>
      <c r="D50" s="229" t="s">
        <v>517</v>
      </c>
      <c r="E50" s="225"/>
      <c r="F50" s="268">
        <f>'PRECIO DEL METRAJE'!E54</f>
        <v>0</v>
      </c>
      <c r="G50" s="225" t="s">
        <v>509</v>
      </c>
      <c r="H50" s="494">
        <f>'PRECIO DEL METRAJE'!K54</f>
        <v>30.200000000000003</v>
      </c>
      <c r="I50" s="494">
        <f>'PRECIO DEL METRAJE'!M54</f>
        <v>0</v>
      </c>
      <c r="J50" s="495"/>
      <c r="K50" s="463"/>
      <c r="M50" s="62" t="str">
        <f t="shared" ref="M50:M55" si="7">IF(F50&gt;0.1,"MOSTRAR","OCULTAR")</f>
        <v>OCULTAR</v>
      </c>
      <c r="N50" s="62"/>
      <c r="O50" s="62"/>
      <c r="P50" s="62"/>
      <c r="Q50" s="62"/>
      <c r="R50" s="62"/>
      <c r="S50" s="62"/>
    </row>
    <row r="51" spans="2:30" ht="18" hidden="1" customHeight="1" x14ac:dyDescent="0.35">
      <c r="B51" s="230"/>
      <c r="C51" s="225"/>
      <c r="D51" s="229"/>
      <c r="E51" s="225"/>
      <c r="F51" s="268"/>
      <c r="G51" s="462"/>
      <c r="H51" s="494"/>
      <c r="I51" s="494"/>
      <c r="J51" s="495"/>
      <c r="K51" s="463"/>
      <c r="M51" s="62" t="str">
        <f t="shared" si="7"/>
        <v>OCULTAR</v>
      </c>
      <c r="N51" s="62"/>
      <c r="O51" s="62"/>
      <c r="P51" s="62"/>
      <c r="Q51" s="62"/>
      <c r="R51" s="62"/>
      <c r="S51" s="62"/>
    </row>
    <row r="52" spans="2:30" ht="33.75" hidden="1" customHeight="1" x14ac:dyDescent="0.35">
      <c r="B52" s="230"/>
      <c r="C52" s="225"/>
      <c r="D52" s="229"/>
      <c r="E52" s="225"/>
      <c r="F52" s="268"/>
      <c r="G52" s="462"/>
      <c r="H52" s="494"/>
      <c r="I52" s="494"/>
      <c r="J52" s="495"/>
      <c r="K52" s="463"/>
      <c r="M52" s="62" t="str">
        <f t="shared" si="7"/>
        <v>OCULTAR</v>
      </c>
      <c r="N52" s="62"/>
      <c r="O52" s="62"/>
      <c r="P52" s="62"/>
      <c r="Q52" s="62"/>
      <c r="R52" s="62"/>
      <c r="S52" s="62"/>
    </row>
    <row r="53" spans="2:30" ht="60" hidden="1" customHeight="1" x14ac:dyDescent="0.35">
      <c r="B53" s="230"/>
      <c r="C53" s="225"/>
      <c r="D53" s="229" t="s">
        <v>69</v>
      </c>
      <c r="E53" s="225"/>
      <c r="F53" s="268">
        <f>'PRECIO DEL METRAJE'!E55</f>
        <v>0</v>
      </c>
      <c r="G53" s="225" t="s">
        <v>509</v>
      </c>
      <c r="H53" s="494">
        <f>'PRECIO DEL METRAJE'!K55</f>
        <v>0</v>
      </c>
      <c r="I53" s="494">
        <f>'PRECIO DEL METRAJE'!M55</f>
        <v>0</v>
      </c>
      <c r="J53" s="495"/>
      <c r="K53" s="463"/>
      <c r="M53" s="62" t="str">
        <f t="shared" si="7"/>
        <v>OCULTAR</v>
      </c>
      <c r="N53" s="62"/>
      <c r="O53" s="62"/>
      <c r="P53" s="62"/>
      <c r="Q53" s="62"/>
      <c r="R53" s="62"/>
      <c r="S53" s="62"/>
    </row>
    <row r="54" spans="2:30" ht="22.5" hidden="1" customHeight="1" x14ac:dyDescent="0.35">
      <c r="B54" s="230"/>
      <c r="C54" s="225"/>
      <c r="D54" s="229"/>
      <c r="E54" s="225"/>
      <c r="F54" s="493"/>
      <c r="G54" s="462"/>
      <c r="H54" s="494"/>
      <c r="I54" s="494"/>
      <c r="J54" s="495"/>
      <c r="K54" s="463"/>
      <c r="M54" s="62" t="str">
        <f t="shared" si="7"/>
        <v>OCULTAR</v>
      </c>
      <c r="N54" s="62"/>
      <c r="O54" s="62"/>
      <c r="P54" s="62"/>
      <c r="Q54" s="62"/>
      <c r="R54" s="62"/>
      <c r="S54" s="62"/>
    </row>
    <row r="55" spans="2:30" ht="8.25" hidden="1" customHeight="1" x14ac:dyDescent="0.35">
      <c r="B55" s="230"/>
      <c r="C55" s="225"/>
      <c r="D55" s="229"/>
      <c r="E55" s="225"/>
      <c r="F55" s="493"/>
      <c r="G55" s="462"/>
      <c r="H55" s="494"/>
      <c r="I55" s="494"/>
      <c r="J55" s="495"/>
      <c r="K55" s="463"/>
      <c r="M55" s="62" t="str">
        <f t="shared" si="7"/>
        <v>OCULTAR</v>
      </c>
      <c r="N55" s="62"/>
      <c r="O55" s="62"/>
      <c r="P55" s="62"/>
      <c r="Q55" s="62"/>
      <c r="R55" s="62"/>
      <c r="S55" s="62"/>
    </row>
    <row r="56" spans="2:30" ht="18" customHeight="1" x14ac:dyDescent="0.35">
      <c r="B56" s="250">
        <f>IF(K56&gt;0,B48+1,B48)</f>
        <v>2</v>
      </c>
      <c r="C56" s="252"/>
      <c r="D56" s="251" t="s">
        <v>70</v>
      </c>
      <c r="E56" s="252"/>
      <c r="F56" s="267">
        <f>IF(K56&gt;1,1,0)</f>
        <v>1</v>
      </c>
      <c r="G56" s="254"/>
      <c r="H56" s="273"/>
      <c r="I56" s="273"/>
      <c r="J56" s="271"/>
      <c r="K56" s="253">
        <f>IF(N58=0,SUM(I59:I76),I58)+J77</f>
        <v>275.95999999999998</v>
      </c>
      <c r="L56" s="183"/>
      <c r="M56" s="62" t="str">
        <f>IF(K56&gt;0.1,"MOSTRAR","OCULTAR")</f>
        <v>MOSTRAR</v>
      </c>
      <c r="N56" s="300"/>
      <c r="O56" s="300"/>
      <c r="P56" s="62"/>
      <c r="Q56" s="62"/>
      <c r="R56" s="62"/>
      <c r="S56" s="62"/>
    </row>
    <row r="57" spans="2:30" ht="18" customHeight="1" x14ac:dyDescent="0.35">
      <c r="B57" s="230">
        <f>IF(J57&gt;0,B56+0.1,B56)</f>
        <v>2.1</v>
      </c>
      <c r="C57" s="258"/>
      <c r="D57" s="278" t="s">
        <v>71</v>
      </c>
      <c r="E57" s="258"/>
      <c r="F57" s="285">
        <f>IF(J57&gt;1,1,0)</f>
        <v>1</v>
      </c>
      <c r="G57" s="258"/>
      <c r="H57" s="274"/>
      <c r="I57" s="274"/>
      <c r="J57" s="274">
        <f>SUM(I59:I76)</f>
        <v>232.95999999999998</v>
      </c>
      <c r="K57" s="280"/>
      <c r="M57" s="62" t="str">
        <f>IF(J57&gt;0.1,"MOSTRAR","OCULTAR")</f>
        <v>MOSTRAR</v>
      </c>
      <c r="N57" s="62"/>
      <c r="O57" s="62"/>
      <c r="P57" s="62"/>
      <c r="Q57" s="62"/>
      <c r="R57" s="62"/>
      <c r="S57" s="62"/>
    </row>
    <row r="58" spans="2:30" ht="88" customHeight="1" x14ac:dyDescent="0.35">
      <c r="B58" s="230"/>
      <c r="C58" s="225"/>
      <c r="D58" s="244" t="s">
        <v>518</v>
      </c>
      <c r="E58" s="225"/>
      <c r="F58" s="268">
        <v>1</v>
      </c>
      <c r="G58" s="225" t="s">
        <v>519</v>
      </c>
      <c r="H58" s="272"/>
      <c r="I58" s="272">
        <f>SUM(I59:I76)</f>
        <v>232.95999999999998</v>
      </c>
      <c r="J58" s="270"/>
      <c r="K58" s="280"/>
      <c r="L58" s="224"/>
      <c r="M58" s="237" t="str">
        <f>IF(OR(OB58&gt;0.1,N58=1),"MOSTRAR","OCULTAR")</f>
        <v>MOSTRAR</v>
      </c>
      <c r="N58" s="238">
        <v>1</v>
      </c>
      <c r="O58" s="240" t="s">
        <v>515</v>
      </c>
      <c r="P58" s="62"/>
      <c r="Q58" s="62"/>
      <c r="R58" s="62"/>
      <c r="S58" s="62"/>
      <c r="AD58" s="58"/>
    </row>
    <row r="59" spans="2:30" ht="54.75" hidden="1" customHeight="1" x14ac:dyDescent="0.35">
      <c r="B59" s="230"/>
      <c r="C59" s="225"/>
      <c r="D59" s="229" t="s">
        <v>72</v>
      </c>
      <c r="E59" s="225"/>
      <c r="F59" s="268">
        <f>'PRECIO DEL METRAJE'!E60</f>
        <v>13</v>
      </c>
      <c r="G59" s="225" t="s">
        <v>215</v>
      </c>
      <c r="H59" s="272">
        <f>'PRECIO DEL METRAJE'!K60</f>
        <v>8.2999999999999989</v>
      </c>
      <c r="I59" s="272">
        <f>'PRECIO DEL METRAJE'!M60</f>
        <v>107.89999999999999</v>
      </c>
      <c r="J59" s="270"/>
      <c r="K59" s="280"/>
      <c r="M59" s="62" t="str">
        <f t="shared" ref="M59:M76" si="8">IF(AND(F59&gt;0.1,$N$58=0),"MOSTRAR","OCULTAR")</f>
        <v>OCULTAR</v>
      </c>
      <c r="N59" s="62"/>
      <c r="O59" s="62"/>
      <c r="P59" s="62"/>
      <c r="Q59" s="62"/>
      <c r="R59" s="62"/>
      <c r="S59" s="62"/>
      <c r="AD59" s="58"/>
    </row>
    <row r="60" spans="2:30" ht="18" hidden="1" customHeight="1" x14ac:dyDescent="0.35">
      <c r="B60" s="230"/>
      <c r="C60" s="225"/>
      <c r="D60" s="229" t="s">
        <v>520</v>
      </c>
      <c r="E60" s="225"/>
      <c r="F60" s="268">
        <f>'PRECIO DEL METRAJE'!E61</f>
        <v>0</v>
      </c>
      <c r="G60" s="225" t="s">
        <v>215</v>
      </c>
      <c r="H60" s="272">
        <f>'PRECIO DEL METRAJE'!K61</f>
        <v>5</v>
      </c>
      <c r="I60" s="272">
        <f>'PRECIO DEL METRAJE'!M61</f>
        <v>0</v>
      </c>
      <c r="J60" s="270"/>
      <c r="K60" s="280"/>
      <c r="M60" s="62" t="str">
        <f t="shared" si="8"/>
        <v>OCULTAR</v>
      </c>
      <c r="N60" s="62"/>
      <c r="O60" s="62"/>
      <c r="P60" s="62"/>
      <c r="Q60" s="62"/>
      <c r="R60" s="62"/>
      <c r="S60" s="62"/>
    </row>
    <row r="61" spans="2:30" ht="18" hidden="1" customHeight="1" x14ac:dyDescent="0.35">
      <c r="B61" s="230"/>
      <c r="C61" s="225"/>
      <c r="D61" s="229" t="s">
        <v>521</v>
      </c>
      <c r="E61" s="225"/>
      <c r="F61" s="268">
        <f>'PRECIO DEL METRAJE'!E62</f>
        <v>0</v>
      </c>
      <c r="G61" s="225" t="s">
        <v>215</v>
      </c>
      <c r="H61" s="272">
        <f>'PRECIO DEL METRAJE'!K62</f>
        <v>3.5</v>
      </c>
      <c r="I61" s="272">
        <f>'PRECIO DEL METRAJE'!M62</f>
        <v>0</v>
      </c>
      <c r="J61" s="270"/>
      <c r="K61" s="280"/>
      <c r="M61" s="62" t="str">
        <f t="shared" si="8"/>
        <v>OCULTAR</v>
      </c>
      <c r="N61" s="62"/>
      <c r="O61" s="62"/>
      <c r="P61" s="62"/>
      <c r="Q61" s="62"/>
      <c r="R61" s="62"/>
      <c r="S61" s="62"/>
    </row>
    <row r="62" spans="2:30" ht="77.25" hidden="1" customHeight="1" x14ac:dyDescent="0.35">
      <c r="B62" s="230"/>
      <c r="C62" s="225"/>
      <c r="D62" s="229" t="s">
        <v>75</v>
      </c>
      <c r="E62" s="225"/>
      <c r="F62" s="268">
        <f>'PRECIO DEL METRAJE'!E63</f>
        <v>0</v>
      </c>
      <c r="G62" s="225" t="s">
        <v>414</v>
      </c>
      <c r="H62" s="272">
        <f>'PRECIO DEL METRAJE'!K63</f>
        <v>6.8999999999999995</v>
      </c>
      <c r="I62" s="272">
        <f>'PRECIO DEL METRAJE'!M63</f>
        <v>0</v>
      </c>
      <c r="J62" s="270"/>
      <c r="K62" s="280"/>
      <c r="M62" s="62" t="str">
        <f t="shared" si="8"/>
        <v>OCULTAR</v>
      </c>
      <c r="N62" s="62"/>
      <c r="O62" s="62"/>
      <c r="P62" s="62"/>
      <c r="Q62" s="62"/>
      <c r="R62" s="62"/>
      <c r="S62" s="62"/>
    </row>
    <row r="63" spans="2:30" ht="86.25" hidden="1" customHeight="1" x14ac:dyDescent="0.35">
      <c r="B63" s="230"/>
      <c r="C63" s="225"/>
      <c r="D63" s="229" t="s">
        <v>77</v>
      </c>
      <c r="E63" s="225"/>
      <c r="F63" s="268">
        <f>'PRECIO DEL METRAJE'!E64</f>
        <v>0</v>
      </c>
      <c r="G63" s="225" t="s">
        <v>215</v>
      </c>
      <c r="H63" s="272">
        <f>'PRECIO DEL METRAJE'!K64</f>
        <v>10.1</v>
      </c>
      <c r="I63" s="272">
        <f>'PRECIO DEL METRAJE'!M64</f>
        <v>0</v>
      </c>
      <c r="J63" s="270"/>
      <c r="K63" s="280"/>
      <c r="M63" s="62" t="str">
        <f t="shared" si="8"/>
        <v>OCULTAR</v>
      </c>
      <c r="N63" s="62"/>
      <c r="O63" s="62"/>
      <c r="P63" s="62"/>
      <c r="Q63" s="62"/>
      <c r="R63" s="62"/>
      <c r="S63" s="62"/>
    </row>
    <row r="64" spans="2:30" ht="88.5" hidden="1" customHeight="1" x14ac:dyDescent="0.45">
      <c r="B64" s="230"/>
      <c r="C64" s="225"/>
      <c r="D64" s="229" t="s">
        <v>78</v>
      </c>
      <c r="E64" s="225"/>
      <c r="F64" s="268">
        <f>'PRECIO DEL METRAJE'!E65</f>
        <v>0</v>
      </c>
      <c r="G64" s="225" t="s">
        <v>414</v>
      </c>
      <c r="H64" s="272">
        <f>'PRECIO DEL METRAJE'!K65</f>
        <v>12.2</v>
      </c>
      <c r="I64" s="272">
        <f>'PRECIO DEL METRAJE'!M65</f>
        <v>0</v>
      </c>
      <c r="J64" s="270"/>
      <c r="K64" s="280"/>
      <c r="M64" s="62" t="str">
        <f t="shared" si="8"/>
        <v>OCULTAR</v>
      </c>
      <c r="N64" s="68"/>
      <c r="O64" s="62"/>
      <c r="P64" s="62"/>
      <c r="Q64" s="62"/>
      <c r="R64" s="62"/>
      <c r="S64" s="62"/>
    </row>
    <row r="65" spans="2:19" ht="88.5" hidden="1" customHeight="1" x14ac:dyDescent="0.45">
      <c r="B65" s="230"/>
      <c r="C65" s="225"/>
      <c r="D65" s="229" t="s">
        <v>79</v>
      </c>
      <c r="E65" s="225"/>
      <c r="F65" s="268">
        <f>'PRECIO DEL METRAJE'!E66</f>
        <v>18.900000000000002</v>
      </c>
      <c r="G65" s="225" t="s">
        <v>215</v>
      </c>
      <c r="H65" s="272">
        <f>'PRECIO DEL METRAJE'!K66</f>
        <v>3.4</v>
      </c>
      <c r="I65" s="272">
        <f>'PRECIO DEL METRAJE'!M66</f>
        <v>64.260000000000005</v>
      </c>
      <c r="J65" s="270"/>
      <c r="K65" s="280"/>
      <c r="M65" s="62" t="str">
        <f t="shared" si="8"/>
        <v>OCULTAR</v>
      </c>
      <c r="N65" s="68"/>
      <c r="O65" s="62"/>
      <c r="P65" s="62"/>
      <c r="Q65" s="62"/>
      <c r="R65" s="62"/>
      <c r="S65" s="62"/>
    </row>
    <row r="66" spans="2:19" ht="66" hidden="1" customHeight="1" x14ac:dyDescent="0.45">
      <c r="B66" s="230"/>
      <c r="C66" s="225"/>
      <c r="D66" s="229" t="s">
        <v>80</v>
      </c>
      <c r="E66" s="225"/>
      <c r="F66" s="268">
        <f>'PRECIO DEL METRAJE'!E67</f>
        <v>6</v>
      </c>
      <c r="G66" s="225" t="s">
        <v>215</v>
      </c>
      <c r="H66" s="272">
        <f>'PRECIO DEL METRAJE'!K67</f>
        <v>2.9</v>
      </c>
      <c r="I66" s="272">
        <f>'PRECIO DEL METRAJE'!M67</f>
        <v>17.399999999999999</v>
      </c>
      <c r="J66" s="270"/>
      <c r="K66" s="280"/>
      <c r="M66" s="62" t="str">
        <f t="shared" si="8"/>
        <v>OCULTAR</v>
      </c>
      <c r="N66" s="68"/>
      <c r="O66" s="62"/>
      <c r="P66" s="62"/>
      <c r="Q66" s="62"/>
      <c r="R66" s="62"/>
      <c r="S66" s="62"/>
    </row>
    <row r="67" spans="2:19" ht="18" hidden="1" customHeight="1" x14ac:dyDescent="0.45">
      <c r="B67" s="230"/>
      <c r="C67" s="225"/>
      <c r="D67" s="229" t="s">
        <v>81</v>
      </c>
      <c r="E67" s="225"/>
      <c r="F67" s="268">
        <f>'PRECIO DEL METRAJE'!E68</f>
        <v>7</v>
      </c>
      <c r="G67" s="225" t="s">
        <v>215</v>
      </c>
      <c r="H67" s="272">
        <f>'PRECIO DEL METRAJE'!K68</f>
        <v>6.1999999999999993</v>
      </c>
      <c r="I67" s="272">
        <f>'PRECIO DEL METRAJE'!M68</f>
        <v>43.399999999999991</v>
      </c>
      <c r="J67" s="270"/>
      <c r="K67" s="280"/>
      <c r="M67" s="62" t="str">
        <f t="shared" si="8"/>
        <v>OCULTAR</v>
      </c>
      <c r="N67" s="68"/>
      <c r="O67" s="62"/>
      <c r="P67" s="62"/>
      <c r="Q67" s="62"/>
      <c r="R67" s="62"/>
      <c r="S67" s="62"/>
    </row>
    <row r="68" spans="2:19" ht="18" hidden="1" customHeight="1" x14ac:dyDescent="0.45">
      <c r="B68" s="230"/>
      <c r="C68" s="225"/>
      <c r="D68" s="229" t="s">
        <v>82</v>
      </c>
      <c r="E68" s="225"/>
      <c r="F68" s="268">
        <f>'PRECIO DEL METRAJE'!E69</f>
        <v>0</v>
      </c>
      <c r="G68" s="225" t="s">
        <v>215</v>
      </c>
      <c r="H68" s="272">
        <f>'PRECIO DEL METRAJE'!K69</f>
        <v>5.3</v>
      </c>
      <c r="I68" s="272">
        <f>'PRECIO DEL METRAJE'!M69</f>
        <v>0</v>
      </c>
      <c r="J68" s="270"/>
      <c r="K68" s="280"/>
      <c r="M68" s="62" t="str">
        <f t="shared" si="8"/>
        <v>OCULTAR</v>
      </c>
      <c r="N68" s="68"/>
      <c r="O68" s="62"/>
      <c r="P68" s="62"/>
      <c r="Q68" s="62"/>
      <c r="R68" s="62"/>
      <c r="S68" s="62"/>
    </row>
    <row r="69" spans="2:19" ht="18" hidden="1" customHeight="1" x14ac:dyDescent="0.45">
      <c r="B69" s="230"/>
      <c r="C69" s="225"/>
      <c r="D69" s="229" t="s">
        <v>83</v>
      </c>
      <c r="E69" s="225"/>
      <c r="F69" s="268">
        <f>'PRECIO DEL METRAJE'!E70</f>
        <v>0</v>
      </c>
      <c r="G69" s="225" t="s">
        <v>215</v>
      </c>
      <c r="H69" s="272">
        <f>'PRECIO DEL METRAJE'!K70</f>
        <v>6.8999999999999995</v>
      </c>
      <c r="I69" s="272">
        <f>'PRECIO DEL METRAJE'!M70</f>
        <v>0</v>
      </c>
      <c r="J69" s="270"/>
      <c r="K69" s="280"/>
      <c r="L69" s="61"/>
      <c r="M69" s="62" t="str">
        <f t="shared" si="8"/>
        <v>OCULTAR</v>
      </c>
      <c r="N69" s="68"/>
      <c r="O69" s="62"/>
      <c r="P69" s="62"/>
      <c r="Q69" s="62"/>
      <c r="R69" s="62"/>
      <c r="S69" s="62"/>
    </row>
    <row r="70" spans="2:19" ht="71.25" hidden="1" customHeight="1" x14ac:dyDescent="0.45">
      <c r="B70" s="230"/>
      <c r="C70" s="225"/>
      <c r="D70" s="229" t="s">
        <v>84</v>
      </c>
      <c r="E70" s="225"/>
      <c r="F70" s="268">
        <f>'PRECIO DEL METRAJE'!E71</f>
        <v>0</v>
      </c>
      <c r="G70" s="225" t="s">
        <v>414</v>
      </c>
      <c r="H70" s="272">
        <f>'PRECIO DEL METRAJE'!K71</f>
        <v>4.8</v>
      </c>
      <c r="I70" s="272">
        <f>'PRECIO DEL METRAJE'!M71</f>
        <v>0</v>
      </c>
      <c r="J70" s="270"/>
      <c r="K70" s="280"/>
      <c r="M70" s="62" t="str">
        <f t="shared" si="8"/>
        <v>OCULTAR</v>
      </c>
      <c r="N70" s="68"/>
      <c r="O70" s="62"/>
      <c r="P70" s="62"/>
      <c r="Q70" s="62"/>
      <c r="R70" s="62"/>
      <c r="S70" s="62"/>
    </row>
    <row r="71" spans="2:19" ht="18" hidden="1" customHeight="1" x14ac:dyDescent="0.35">
      <c r="B71" s="230"/>
      <c r="C71" s="225"/>
      <c r="D71" s="229" t="s">
        <v>85</v>
      </c>
      <c r="E71" s="225"/>
      <c r="F71" s="268">
        <f>'PRECIO DEL METRAJE'!E72</f>
        <v>0</v>
      </c>
      <c r="G71" s="225" t="s">
        <v>215</v>
      </c>
      <c r="H71" s="272">
        <f>'PRECIO DEL METRAJE'!K72</f>
        <v>5.1999999999999993</v>
      </c>
      <c r="I71" s="272">
        <f>'PRECIO DEL METRAJE'!M72</f>
        <v>0</v>
      </c>
      <c r="J71" s="270"/>
      <c r="K71" s="280"/>
      <c r="M71" s="62" t="str">
        <f t="shared" si="8"/>
        <v>OCULTAR</v>
      </c>
      <c r="N71" s="62"/>
      <c r="O71" s="62"/>
      <c r="P71" s="62"/>
      <c r="Q71" s="62"/>
      <c r="R71" s="62"/>
      <c r="S71" s="62"/>
    </row>
    <row r="72" spans="2:19" ht="18" hidden="1" customHeight="1" x14ac:dyDescent="0.35">
      <c r="B72" s="230"/>
      <c r="C72" s="225"/>
      <c r="D72" s="229" t="s">
        <v>86</v>
      </c>
      <c r="E72" s="225"/>
      <c r="F72" s="268">
        <f>'PRECIO DEL METRAJE'!E73</f>
        <v>0</v>
      </c>
      <c r="G72" s="225" t="s">
        <v>215</v>
      </c>
      <c r="H72" s="272">
        <f>'PRECIO DEL METRAJE'!K73</f>
        <v>6.1999999999999993</v>
      </c>
      <c r="I72" s="272">
        <f>'PRECIO DEL METRAJE'!M73</f>
        <v>0</v>
      </c>
      <c r="J72" s="270"/>
      <c r="K72" s="280"/>
      <c r="M72" s="62" t="str">
        <f t="shared" si="8"/>
        <v>OCULTAR</v>
      </c>
      <c r="N72" s="62"/>
      <c r="O72" s="62"/>
      <c r="P72" s="62"/>
      <c r="Q72" s="62"/>
      <c r="R72" s="62"/>
      <c r="S72" s="62"/>
    </row>
    <row r="73" spans="2:19" ht="18" hidden="1" customHeight="1" x14ac:dyDescent="0.35">
      <c r="B73" s="230"/>
      <c r="C73" s="225"/>
      <c r="D73" s="229" t="s">
        <v>87</v>
      </c>
      <c r="E73" s="225"/>
      <c r="F73" s="268">
        <f>'PRECIO DEL METRAJE'!E74</f>
        <v>0</v>
      </c>
      <c r="G73" s="225" t="s">
        <v>60</v>
      </c>
      <c r="H73" s="272">
        <f>'PRECIO DEL METRAJE'!K74</f>
        <v>13.9</v>
      </c>
      <c r="I73" s="272">
        <f>'PRECIO DEL METRAJE'!M74</f>
        <v>0</v>
      </c>
      <c r="J73" s="270"/>
      <c r="K73" s="280"/>
      <c r="M73" s="62" t="str">
        <f t="shared" si="8"/>
        <v>OCULTAR</v>
      </c>
      <c r="N73" s="62"/>
      <c r="O73" s="62"/>
      <c r="P73" s="62"/>
      <c r="Q73" s="62"/>
      <c r="R73" s="62"/>
      <c r="S73" s="62"/>
    </row>
    <row r="74" spans="2:19" ht="18" hidden="1" customHeight="1" x14ac:dyDescent="0.35">
      <c r="B74" s="230"/>
      <c r="C74" s="225"/>
      <c r="D74" s="229" t="s">
        <v>88</v>
      </c>
      <c r="E74" s="225"/>
      <c r="F74" s="268">
        <f>'PRECIO DEL METRAJE'!E75</f>
        <v>0</v>
      </c>
      <c r="G74" s="225" t="s">
        <v>414</v>
      </c>
      <c r="H74" s="272">
        <f>'PRECIO DEL METRAJE'!K75</f>
        <v>3.8000000000000003</v>
      </c>
      <c r="I74" s="272">
        <f>'PRECIO DEL METRAJE'!M75</f>
        <v>0</v>
      </c>
      <c r="J74" s="270"/>
      <c r="K74" s="280"/>
      <c r="M74" s="62" t="str">
        <f t="shared" si="8"/>
        <v>OCULTAR</v>
      </c>
      <c r="N74" s="62"/>
      <c r="O74" s="62"/>
      <c r="P74" s="62"/>
      <c r="Q74" s="62"/>
      <c r="R74" s="62"/>
      <c r="S74" s="62"/>
    </row>
    <row r="75" spans="2:19" ht="18" hidden="1" customHeight="1" x14ac:dyDescent="0.35">
      <c r="B75" s="230"/>
      <c r="C75" s="225"/>
      <c r="D75" s="229" t="s">
        <v>89</v>
      </c>
      <c r="E75" s="225"/>
      <c r="F75" s="268">
        <f>'PRECIO DEL METRAJE'!E76</f>
        <v>0</v>
      </c>
      <c r="G75" s="225" t="s">
        <v>414</v>
      </c>
      <c r="H75" s="272">
        <f>'PRECIO DEL METRAJE'!K76</f>
        <v>7.3999999999999995</v>
      </c>
      <c r="I75" s="272">
        <f>'PRECIO DEL METRAJE'!M76</f>
        <v>0</v>
      </c>
      <c r="J75" s="270"/>
      <c r="K75" s="280"/>
      <c r="M75" s="62" t="str">
        <f t="shared" si="8"/>
        <v>OCULTAR</v>
      </c>
      <c r="N75" s="62"/>
      <c r="O75" s="62"/>
      <c r="P75" s="62"/>
      <c r="Q75" s="62"/>
      <c r="R75" s="62"/>
      <c r="S75" s="62"/>
    </row>
    <row r="76" spans="2:19" ht="0.5" hidden="1" customHeight="1" x14ac:dyDescent="0.35">
      <c r="B76" s="230"/>
      <c r="C76" s="225"/>
      <c r="D76" s="229" t="s">
        <v>90</v>
      </c>
      <c r="E76" s="225"/>
      <c r="F76" s="268">
        <f>'PRECIO DEL METRAJE'!E77</f>
        <v>0</v>
      </c>
      <c r="G76" s="225" t="s">
        <v>414</v>
      </c>
      <c r="H76" s="272">
        <f>'PRECIO DEL METRAJE'!K77</f>
        <v>7.5</v>
      </c>
      <c r="I76" s="272">
        <f>'PRECIO DEL METRAJE'!M77</f>
        <v>0</v>
      </c>
      <c r="J76" s="270"/>
      <c r="K76" s="280"/>
      <c r="M76" s="62" t="str">
        <f t="shared" si="8"/>
        <v>OCULTAR</v>
      </c>
      <c r="N76" s="62"/>
      <c r="O76" s="62"/>
      <c r="P76" s="62"/>
      <c r="Q76" s="62"/>
      <c r="R76" s="62"/>
      <c r="S76" s="62"/>
    </row>
    <row r="77" spans="2:19" ht="18" customHeight="1" x14ac:dyDescent="0.35">
      <c r="B77" s="230">
        <f>IF(J77&gt;0,B57+0.1,B57)</f>
        <v>2.2000000000000002</v>
      </c>
      <c r="C77" s="258"/>
      <c r="D77" s="278" t="s">
        <v>91</v>
      </c>
      <c r="E77" s="258"/>
      <c r="F77" s="285">
        <f>IF(J77&gt;1,1,0)</f>
        <v>1</v>
      </c>
      <c r="G77" s="258"/>
      <c r="H77" s="274"/>
      <c r="I77" s="274"/>
      <c r="J77" s="274">
        <f>IF(N78=0,SUM(I79),I78)</f>
        <v>43</v>
      </c>
      <c r="K77" s="280"/>
      <c r="M77" s="62" t="str">
        <f>IF(J77&gt;0.1,"MOSTRAR","OCULTAR")</f>
        <v>MOSTRAR</v>
      </c>
      <c r="N77" s="62"/>
      <c r="O77" s="62"/>
      <c r="P77" s="62"/>
      <c r="Q77" s="62"/>
      <c r="R77" s="62"/>
      <c r="S77" s="62"/>
    </row>
    <row r="78" spans="2:19" ht="87" customHeight="1" x14ac:dyDescent="0.35">
      <c r="B78" s="230"/>
      <c r="C78" s="225"/>
      <c r="D78" s="244" t="s">
        <v>522</v>
      </c>
      <c r="E78" s="257"/>
      <c r="F78" s="268">
        <v>1</v>
      </c>
      <c r="G78" s="225" t="s">
        <v>519</v>
      </c>
      <c r="H78" s="272"/>
      <c r="I78" s="272">
        <f>I79</f>
        <v>43</v>
      </c>
      <c r="J78" s="270"/>
      <c r="K78" s="280"/>
      <c r="M78" s="237" t="str">
        <f>IF(OR(OB78&gt;0.1,N78=1),"MOSTRAR","OCULTAR")</f>
        <v>MOSTRAR</v>
      </c>
      <c r="N78" s="238">
        <v>1</v>
      </c>
      <c r="O78" s="240" t="s">
        <v>515</v>
      </c>
      <c r="P78" s="62"/>
      <c r="Q78" s="62"/>
      <c r="R78" s="62"/>
      <c r="S78" s="62"/>
    </row>
    <row r="79" spans="2:19" ht="18" hidden="1" customHeight="1" x14ac:dyDescent="0.35">
      <c r="B79" s="230"/>
      <c r="C79" s="225"/>
      <c r="D79" s="229" t="s">
        <v>523</v>
      </c>
      <c r="E79" s="290"/>
      <c r="F79" s="268">
        <f>'PRECIO DEL METRAJE'!E81</f>
        <v>10</v>
      </c>
      <c r="G79" s="225" t="s">
        <v>414</v>
      </c>
      <c r="H79" s="272">
        <f>'PRECIO DEL METRAJE'!K81</f>
        <v>4.3</v>
      </c>
      <c r="I79" s="272">
        <f>'PRECIO DEL METRAJE'!M81</f>
        <v>43</v>
      </c>
      <c r="J79" s="270"/>
      <c r="K79" s="280"/>
      <c r="M79" s="62" t="str">
        <f>IF(AND(F79&gt;0.1,$N$78=0),"MOSTRAR","OCULTAR")</f>
        <v>OCULTAR</v>
      </c>
      <c r="N79" s="62"/>
      <c r="O79" s="62"/>
      <c r="P79" s="62"/>
      <c r="Q79" s="62"/>
      <c r="R79" s="62"/>
      <c r="S79" s="62"/>
    </row>
    <row r="80" spans="2:19" ht="18" hidden="1" customHeight="1" x14ac:dyDescent="0.35">
      <c r="B80" s="230"/>
      <c r="C80" s="225"/>
      <c r="D80" s="229"/>
      <c r="E80" s="225"/>
      <c r="F80" s="257">
        <f>IF(K81&gt;1,1,0)</f>
        <v>0</v>
      </c>
      <c r="G80" s="257"/>
      <c r="H80" s="272"/>
      <c r="I80" s="272"/>
      <c r="J80" s="270"/>
      <c r="K80" s="280"/>
      <c r="M80" s="62" t="str">
        <f t="shared" ref="M80:M138" si="9">IF(F80&gt;0.1,"MOSTRAR","OCULTAR")</f>
        <v>OCULTAR</v>
      </c>
      <c r="N80" s="62"/>
      <c r="O80" s="62"/>
      <c r="P80" s="62"/>
      <c r="Q80" s="62"/>
      <c r="R80" s="62"/>
      <c r="S80" s="62"/>
    </row>
    <row r="81" spans="2:19" ht="18" hidden="1" customHeight="1" x14ac:dyDescent="0.35">
      <c r="B81" s="250">
        <f>IF(K81&gt;0,B56+1,B56)</f>
        <v>2</v>
      </c>
      <c r="C81" s="261"/>
      <c r="D81" s="251" t="s">
        <v>94</v>
      </c>
      <c r="E81" s="261"/>
      <c r="F81" s="291">
        <f>IF(K81&gt;1,1,0)</f>
        <v>0</v>
      </c>
      <c r="G81" s="261"/>
      <c r="H81" s="275"/>
      <c r="I81" s="275"/>
      <c r="J81" s="292"/>
      <c r="K81" s="253">
        <f>J82+J88</f>
        <v>0</v>
      </c>
      <c r="L81" s="63"/>
      <c r="M81" s="62" t="str">
        <f>IF(K81&gt;0.1,"MOSTRAR","OCULTAR")</f>
        <v>OCULTAR</v>
      </c>
      <c r="N81" s="62"/>
      <c r="O81" s="62"/>
      <c r="P81" s="62"/>
      <c r="Q81" s="62"/>
      <c r="R81" s="62"/>
      <c r="S81" s="62"/>
    </row>
    <row r="82" spans="2:19" ht="18" hidden="1" customHeight="1" x14ac:dyDescent="0.35">
      <c r="B82" s="230">
        <f>IF(J82&gt;0,B81+0.1,B81)</f>
        <v>2</v>
      </c>
      <c r="C82" s="258"/>
      <c r="D82" s="278" t="s">
        <v>524</v>
      </c>
      <c r="E82" s="258"/>
      <c r="F82" s="285">
        <f>IF(J82&gt;1,1,0)</f>
        <v>0</v>
      </c>
      <c r="G82" s="258"/>
      <c r="H82" s="274"/>
      <c r="I82" s="274"/>
      <c r="J82" s="274">
        <f>SUM(I83:I87)</f>
        <v>0</v>
      </c>
      <c r="K82" s="280"/>
      <c r="M82" s="62" t="str">
        <f>IF(J82&gt;0.1,"MOSTRAR","OCULTAR")</f>
        <v>OCULTAR</v>
      </c>
      <c r="N82" s="62"/>
      <c r="O82" s="62"/>
      <c r="P82" s="62"/>
      <c r="Q82" s="62"/>
      <c r="R82" s="62"/>
      <c r="S82" s="62"/>
    </row>
    <row r="83" spans="2:19" ht="90" hidden="1" customHeight="1" x14ac:dyDescent="0.35">
      <c r="B83" s="544"/>
      <c r="C83" s="293"/>
      <c r="D83" s="235" t="s">
        <v>525</v>
      </c>
      <c r="E83" s="225"/>
      <c r="F83" s="268">
        <f>'PRECIO DEL METRAJE'!E86</f>
        <v>0</v>
      </c>
      <c r="G83" s="225" t="s">
        <v>414</v>
      </c>
      <c r="H83" s="272">
        <f>'PRECIO DEL METRAJE'!K86</f>
        <v>820</v>
      </c>
      <c r="I83" s="272">
        <f>'PRECIO DEL METRAJE'!M86</f>
        <v>0</v>
      </c>
      <c r="J83" s="270"/>
      <c r="K83" s="280"/>
      <c r="M83" s="62" t="str">
        <f t="shared" si="9"/>
        <v>OCULTAR</v>
      </c>
      <c r="N83" s="62"/>
      <c r="O83" s="62"/>
      <c r="P83" s="62"/>
      <c r="Q83" s="62"/>
      <c r="R83" s="62"/>
      <c r="S83" s="62"/>
    </row>
    <row r="84" spans="2:19" ht="90.75" hidden="1" customHeight="1" x14ac:dyDescent="0.35">
      <c r="B84" s="544"/>
      <c r="C84" s="293"/>
      <c r="D84" s="244" t="s">
        <v>526</v>
      </c>
      <c r="E84" s="225"/>
      <c r="F84" s="268">
        <f>'PRECIO DEL METRAJE'!E87</f>
        <v>0</v>
      </c>
      <c r="G84" s="225" t="s">
        <v>414</v>
      </c>
      <c r="H84" s="272">
        <f>'PRECIO DEL METRAJE'!K87</f>
        <v>856</v>
      </c>
      <c r="I84" s="272">
        <f>'PRECIO DEL METRAJE'!M87</f>
        <v>0</v>
      </c>
      <c r="J84" s="270"/>
      <c r="K84" s="280"/>
      <c r="M84" s="62" t="str">
        <f t="shared" si="9"/>
        <v>OCULTAR</v>
      </c>
      <c r="N84" s="62"/>
      <c r="O84" s="62"/>
      <c r="P84" s="62"/>
      <c r="Q84" s="62"/>
      <c r="R84" s="62"/>
      <c r="S84" s="62"/>
    </row>
    <row r="85" spans="2:19" ht="91.5" hidden="1" customHeight="1" x14ac:dyDescent="0.35">
      <c r="B85" s="544"/>
      <c r="C85" s="293"/>
      <c r="D85" s="235" t="s">
        <v>527</v>
      </c>
      <c r="E85" s="225"/>
      <c r="F85" s="268">
        <f>'PRECIO DEL METRAJE'!E88</f>
        <v>0</v>
      </c>
      <c r="G85" s="225" t="s">
        <v>414</v>
      </c>
      <c r="H85" s="272">
        <f>'PRECIO DEL METRAJE'!K88</f>
        <v>850</v>
      </c>
      <c r="I85" s="272">
        <f>'PRECIO DEL METRAJE'!M88</f>
        <v>0</v>
      </c>
      <c r="J85" s="270"/>
      <c r="K85" s="280"/>
      <c r="M85" s="62" t="str">
        <f t="shared" si="9"/>
        <v>OCULTAR</v>
      </c>
      <c r="N85" s="62"/>
      <c r="O85" s="62"/>
      <c r="P85" s="62"/>
      <c r="Q85" s="62"/>
      <c r="R85" s="62"/>
      <c r="S85" s="62"/>
    </row>
    <row r="86" spans="2:19" ht="85.5" hidden="1" customHeight="1" x14ac:dyDescent="0.35">
      <c r="B86" s="544"/>
      <c r="C86" s="293"/>
      <c r="D86" s="235" t="s">
        <v>528</v>
      </c>
      <c r="E86" s="225"/>
      <c r="F86" s="268">
        <f>'PRECIO DEL METRAJE'!E89</f>
        <v>0</v>
      </c>
      <c r="G86" s="225" t="s">
        <v>414</v>
      </c>
      <c r="H86" s="272">
        <f>'PRECIO DEL METRAJE'!K89</f>
        <v>860</v>
      </c>
      <c r="I86" s="272">
        <f>'PRECIO DEL METRAJE'!M89</f>
        <v>0</v>
      </c>
      <c r="J86" s="270"/>
      <c r="K86" s="280"/>
      <c r="M86" s="62" t="str">
        <f t="shared" si="9"/>
        <v>OCULTAR</v>
      </c>
      <c r="N86" s="62"/>
      <c r="O86" s="62"/>
      <c r="P86" s="62"/>
      <c r="Q86" s="62"/>
      <c r="R86" s="62"/>
      <c r="S86" s="62"/>
    </row>
    <row r="87" spans="2:19" ht="18" hidden="1" customHeight="1" x14ac:dyDescent="0.35">
      <c r="B87" s="230"/>
      <c r="C87" s="225"/>
      <c r="D87" s="229" t="str">
        <f>'PRECIO DEL METRAJE'!D90</f>
        <v xml:space="preserve">PUERTA RF EI2 60 1100x2060mm </v>
      </c>
      <c r="E87" s="225"/>
      <c r="F87" s="268">
        <f>'PRECIO DEL METRAJE'!E90</f>
        <v>0</v>
      </c>
      <c r="G87" s="225" t="s">
        <v>414</v>
      </c>
      <c r="H87" s="272">
        <f>'PRECIO DEL METRAJE'!K90</f>
        <v>0</v>
      </c>
      <c r="I87" s="272">
        <f>'PRECIO DEL METRAJE'!M90</f>
        <v>0</v>
      </c>
      <c r="J87" s="270"/>
      <c r="K87" s="280"/>
      <c r="M87" s="62" t="str">
        <f t="shared" si="9"/>
        <v>OCULTAR</v>
      </c>
      <c r="N87" s="62"/>
      <c r="O87" s="62"/>
      <c r="P87" s="62"/>
      <c r="Q87" s="62"/>
      <c r="R87" s="62"/>
      <c r="S87" s="62"/>
    </row>
    <row r="88" spans="2:19" ht="18" hidden="1" customHeight="1" x14ac:dyDescent="0.35">
      <c r="B88" s="230">
        <f>IF(J88&gt;0,B82+0.1,B82)</f>
        <v>2</v>
      </c>
      <c r="C88" s="258"/>
      <c r="D88" s="278" t="s">
        <v>101</v>
      </c>
      <c r="E88" s="258"/>
      <c r="F88" s="285">
        <f>IF(J88&gt;1,1,0)</f>
        <v>0</v>
      </c>
      <c r="G88" s="258"/>
      <c r="H88" s="274"/>
      <c r="I88" s="274"/>
      <c r="J88" s="274">
        <f>SUM(I89:I93)</f>
        <v>0</v>
      </c>
      <c r="K88" s="280"/>
      <c r="M88" s="62" t="str">
        <f>IF(J88&gt;0.1,"MOSTRAR","OCULTAR")</f>
        <v>OCULTAR</v>
      </c>
      <c r="N88" s="62"/>
      <c r="O88" s="62"/>
      <c r="P88" s="62"/>
      <c r="Q88" s="62"/>
      <c r="R88" s="62"/>
      <c r="S88" s="62"/>
    </row>
    <row r="89" spans="2:19" ht="85.5" hidden="1" customHeight="1" x14ac:dyDescent="0.35">
      <c r="B89" s="544"/>
      <c r="C89" s="293"/>
      <c r="D89" s="235" t="s">
        <v>529</v>
      </c>
      <c r="E89" s="225"/>
      <c r="F89" s="268">
        <f>'PRECIO DEL METRAJE'!E92</f>
        <v>0</v>
      </c>
      <c r="G89" s="225" t="s">
        <v>414</v>
      </c>
      <c r="H89" s="272">
        <f>'PRECIO DEL METRAJE'!K92</f>
        <v>1528</v>
      </c>
      <c r="I89" s="272">
        <f>'PRECIO DEL METRAJE'!M92</f>
        <v>0</v>
      </c>
      <c r="J89" s="270"/>
      <c r="K89" s="280"/>
      <c r="M89" s="62" t="str">
        <f t="shared" si="9"/>
        <v>OCULTAR</v>
      </c>
      <c r="N89" s="62"/>
      <c r="O89" s="62"/>
      <c r="P89" s="62"/>
      <c r="Q89" s="62"/>
      <c r="R89" s="62"/>
      <c r="S89" s="62"/>
    </row>
    <row r="90" spans="2:19" ht="85.5" hidden="1" customHeight="1" x14ac:dyDescent="0.35">
      <c r="B90" s="544"/>
      <c r="C90" s="293"/>
      <c r="D90" s="235" t="s">
        <v>530</v>
      </c>
      <c r="E90" s="225"/>
      <c r="F90" s="268">
        <f>'PRECIO DEL METRAJE'!E93</f>
        <v>0</v>
      </c>
      <c r="G90" s="225" t="s">
        <v>414</v>
      </c>
      <c r="H90" s="272">
        <f>'PRECIO DEL METRAJE'!K93</f>
        <v>1588</v>
      </c>
      <c r="I90" s="272">
        <f>'PRECIO DEL METRAJE'!M93</f>
        <v>0</v>
      </c>
      <c r="J90" s="270"/>
      <c r="K90" s="280"/>
      <c r="M90" s="62" t="str">
        <f t="shared" si="9"/>
        <v>OCULTAR</v>
      </c>
      <c r="N90" s="62"/>
      <c r="O90" s="62"/>
      <c r="P90" s="62"/>
      <c r="Q90" s="62"/>
      <c r="R90" s="62"/>
      <c r="S90" s="62"/>
    </row>
    <row r="91" spans="2:19" ht="81.75" hidden="1" customHeight="1" x14ac:dyDescent="0.35">
      <c r="B91" s="544"/>
      <c r="C91" s="293"/>
      <c r="D91" s="235" t="s">
        <v>531</v>
      </c>
      <c r="E91" s="225"/>
      <c r="F91" s="268">
        <f>'PRECIO DEL METRAJE'!E94</f>
        <v>0</v>
      </c>
      <c r="G91" s="225" t="s">
        <v>414</v>
      </c>
      <c r="H91" s="272">
        <f>'PRECIO DEL METRAJE'!K94</f>
        <v>1520</v>
      </c>
      <c r="I91" s="272">
        <f>'PRECIO DEL METRAJE'!M94</f>
        <v>0</v>
      </c>
      <c r="J91" s="270"/>
      <c r="K91" s="280"/>
      <c r="M91" s="62" t="str">
        <f t="shared" si="9"/>
        <v>OCULTAR</v>
      </c>
      <c r="N91" s="62"/>
      <c r="O91" s="62"/>
      <c r="P91" s="62"/>
      <c r="Q91" s="62"/>
      <c r="R91" s="62"/>
      <c r="S91" s="62"/>
    </row>
    <row r="92" spans="2:19" ht="83.25" hidden="1" customHeight="1" x14ac:dyDescent="0.35">
      <c r="B92" s="544"/>
      <c r="C92" s="293"/>
      <c r="D92" s="235" t="s">
        <v>532</v>
      </c>
      <c r="E92" s="225"/>
      <c r="F92" s="268">
        <f>'PRECIO DEL METRAJE'!E95</f>
        <v>0</v>
      </c>
      <c r="G92" s="225" t="s">
        <v>414</v>
      </c>
      <c r="H92" s="272">
        <f>'PRECIO DEL METRAJE'!K95</f>
        <v>1660</v>
      </c>
      <c r="I92" s="272">
        <f>'PRECIO DEL METRAJE'!M95</f>
        <v>0</v>
      </c>
      <c r="J92" s="270"/>
      <c r="K92" s="280"/>
      <c r="M92" s="62" t="str">
        <f t="shared" si="9"/>
        <v>OCULTAR</v>
      </c>
      <c r="N92" s="62"/>
      <c r="O92" s="62"/>
      <c r="P92" s="62"/>
      <c r="Q92" s="62"/>
      <c r="R92" s="62"/>
      <c r="S92" s="62"/>
    </row>
    <row r="93" spans="2:19" ht="15" hidden="1" customHeight="1" x14ac:dyDescent="0.35">
      <c r="B93" s="230"/>
      <c r="C93" s="225"/>
      <c r="D93" s="235"/>
      <c r="E93" s="225"/>
      <c r="F93" s="225"/>
      <c r="G93" s="225"/>
      <c r="H93" s="272"/>
      <c r="I93" s="272"/>
      <c r="J93" s="270"/>
      <c r="K93" s="280"/>
      <c r="M93" s="62" t="str">
        <f t="shared" si="9"/>
        <v>OCULTAR</v>
      </c>
      <c r="N93" s="62"/>
      <c r="O93" s="62"/>
      <c r="P93" s="62"/>
      <c r="Q93" s="62"/>
      <c r="R93" s="62"/>
      <c r="S93" s="62"/>
    </row>
    <row r="94" spans="2:19" ht="21.75" hidden="1" customHeight="1" x14ac:dyDescent="0.35">
      <c r="B94" s="250">
        <f>IF(K94&gt;0,B81+1,B81)</f>
        <v>2</v>
      </c>
      <c r="C94" s="261"/>
      <c r="D94" s="251" t="s">
        <v>106</v>
      </c>
      <c r="E94" s="261"/>
      <c r="F94" s="291">
        <f>IF(K94&gt;1,1,0)</f>
        <v>0</v>
      </c>
      <c r="G94" s="261"/>
      <c r="H94" s="275"/>
      <c r="I94" s="275"/>
      <c r="J94" s="292"/>
      <c r="K94" s="253">
        <f>J95+J101</f>
        <v>0</v>
      </c>
      <c r="M94" s="62" t="str">
        <f>IF(K94&gt;0.1,"MOSTRAR","OCULTAR")</f>
        <v>OCULTAR</v>
      </c>
      <c r="N94" s="62"/>
      <c r="O94" s="62"/>
      <c r="P94" s="62"/>
      <c r="Q94" s="62"/>
      <c r="R94" s="62"/>
      <c r="S94" s="62"/>
    </row>
    <row r="95" spans="2:19" ht="21.75" hidden="1" customHeight="1" x14ac:dyDescent="0.35">
      <c r="B95" s="230">
        <f>IF(J95&gt;0,B94+0.1,B94)</f>
        <v>2</v>
      </c>
      <c r="C95" s="258"/>
      <c r="D95" s="278" t="s">
        <v>107</v>
      </c>
      <c r="E95" s="258"/>
      <c r="F95" s="285">
        <f>IF(J95&gt;1,1,0)</f>
        <v>0</v>
      </c>
      <c r="G95" s="258"/>
      <c r="H95" s="274"/>
      <c r="I95" s="274"/>
      <c r="J95" s="274">
        <f>SUM(I96:I100)</f>
        <v>0</v>
      </c>
      <c r="K95" s="280"/>
      <c r="M95" s="62" t="str">
        <f>IF(J95&gt;0.1,"MOSTRAR","OCULTAR")</f>
        <v>OCULTAR</v>
      </c>
      <c r="N95" s="62"/>
      <c r="O95" s="62"/>
      <c r="P95" s="62"/>
      <c r="Q95" s="62"/>
      <c r="R95" s="62"/>
      <c r="S95" s="62"/>
    </row>
    <row r="96" spans="2:19" ht="94.5" hidden="1" customHeight="1" x14ac:dyDescent="0.35">
      <c r="B96" s="544"/>
      <c r="C96" s="293"/>
      <c r="D96" s="236" t="s">
        <v>525</v>
      </c>
      <c r="E96" s="225"/>
      <c r="F96" s="268">
        <f>'PRECIO DEL METRAJE'!E100</f>
        <v>0</v>
      </c>
      <c r="G96" s="225" t="s">
        <v>414</v>
      </c>
      <c r="H96" s="272">
        <f>'PRECIO DEL METRAJE'!K100</f>
        <v>820</v>
      </c>
      <c r="I96" s="272">
        <f>'PRECIO DEL METRAJE'!M100</f>
        <v>0</v>
      </c>
      <c r="J96" s="270"/>
      <c r="K96" s="280"/>
      <c r="M96" s="62" t="str">
        <f t="shared" si="9"/>
        <v>OCULTAR</v>
      </c>
      <c r="N96" s="62"/>
      <c r="O96" s="62"/>
      <c r="P96" s="62"/>
      <c r="Q96" s="62"/>
      <c r="R96" s="62"/>
      <c r="S96" s="62"/>
    </row>
    <row r="97" spans="2:19" ht="90" hidden="1" customHeight="1" x14ac:dyDescent="0.35">
      <c r="B97" s="544"/>
      <c r="C97" s="293"/>
      <c r="D97" s="244" t="s">
        <v>526</v>
      </c>
      <c r="E97" s="225"/>
      <c r="F97" s="268">
        <f>'PRECIO DEL METRAJE'!E101</f>
        <v>0</v>
      </c>
      <c r="G97" s="225" t="s">
        <v>414</v>
      </c>
      <c r="H97" s="272">
        <f>'PRECIO DEL METRAJE'!K101</f>
        <v>856</v>
      </c>
      <c r="I97" s="272">
        <f>'PRECIO DEL METRAJE'!M101</f>
        <v>0</v>
      </c>
      <c r="J97" s="270"/>
      <c r="K97" s="280"/>
      <c r="M97" s="62" t="str">
        <f t="shared" si="9"/>
        <v>OCULTAR</v>
      </c>
      <c r="N97" s="62"/>
      <c r="O97" s="62"/>
      <c r="P97" s="62"/>
      <c r="Q97" s="62"/>
      <c r="R97" s="62"/>
      <c r="S97" s="62"/>
    </row>
    <row r="98" spans="2:19" ht="92.25" hidden="1" customHeight="1" x14ac:dyDescent="0.35">
      <c r="B98" s="544"/>
      <c r="C98" s="293"/>
      <c r="D98" s="235" t="s">
        <v>527</v>
      </c>
      <c r="E98" s="225"/>
      <c r="F98" s="268">
        <f>'PRECIO DEL METRAJE'!E102</f>
        <v>0</v>
      </c>
      <c r="G98" s="225" t="s">
        <v>414</v>
      </c>
      <c r="H98" s="272">
        <f>'PRECIO DEL METRAJE'!K102</f>
        <v>850</v>
      </c>
      <c r="I98" s="272">
        <f>'PRECIO DEL METRAJE'!M102</f>
        <v>0</v>
      </c>
      <c r="J98" s="270"/>
      <c r="K98" s="280"/>
      <c r="M98" s="62" t="str">
        <f t="shared" si="9"/>
        <v>OCULTAR</v>
      </c>
      <c r="N98" s="62"/>
      <c r="O98" s="62"/>
      <c r="P98" s="62"/>
      <c r="Q98" s="62"/>
      <c r="R98" s="62"/>
      <c r="S98" s="62"/>
    </row>
    <row r="99" spans="2:19" ht="93.75" hidden="1" customHeight="1" x14ac:dyDescent="0.35">
      <c r="B99" s="544"/>
      <c r="C99" s="293"/>
      <c r="D99" s="235" t="s">
        <v>528</v>
      </c>
      <c r="E99" s="225"/>
      <c r="F99" s="268">
        <f>'PRECIO DEL METRAJE'!E103</f>
        <v>0</v>
      </c>
      <c r="G99" s="225" t="s">
        <v>414</v>
      </c>
      <c r="H99" s="272">
        <f>'PRECIO DEL METRAJE'!K103</f>
        <v>860</v>
      </c>
      <c r="I99" s="272">
        <f>'PRECIO DEL METRAJE'!M103</f>
        <v>0</v>
      </c>
      <c r="J99" s="270"/>
      <c r="K99" s="280"/>
      <c r="M99" s="62" t="str">
        <f t="shared" si="9"/>
        <v>OCULTAR</v>
      </c>
      <c r="N99" s="62"/>
      <c r="O99" s="62"/>
      <c r="P99" s="62"/>
      <c r="Q99" s="62"/>
      <c r="R99" s="62"/>
      <c r="S99" s="62"/>
    </row>
    <row r="100" spans="2:19" ht="6.75" hidden="1" customHeight="1" x14ac:dyDescent="0.35">
      <c r="B100" s="230"/>
      <c r="C100" s="225"/>
      <c r="D100" s="229"/>
      <c r="E100" s="225"/>
      <c r="F100" s="268"/>
      <c r="G100" s="225"/>
      <c r="H100" s="272"/>
      <c r="I100" s="272"/>
      <c r="J100" s="270"/>
      <c r="K100" s="280"/>
      <c r="M100" s="62" t="str">
        <f t="shared" si="9"/>
        <v>OCULTAR</v>
      </c>
      <c r="N100" s="62"/>
      <c r="O100" s="62"/>
      <c r="P100" s="62"/>
      <c r="Q100" s="62"/>
      <c r="R100" s="62"/>
      <c r="S100" s="62"/>
    </row>
    <row r="101" spans="2:19" ht="23.25" hidden="1" customHeight="1" x14ac:dyDescent="0.35">
      <c r="B101" s="230">
        <f>IF(J101&gt;0,B95+0.1,B95)</f>
        <v>2</v>
      </c>
      <c r="C101" s="258"/>
      <c r="D101" s="278" t="s">
        <v>108</v>
      </c>
      <c r="E101" s="258"/>
      <c r="F101" s="285">
        <f>IF(J101&gt;1,1,0)</f>
        <v>0</v>
      </c>
      <c r="G101" s="258"/>
      <c r="H101" s="274"/>
      <c r="I101" s="274"/>
      <c r="J101" s="274">
        <f>SUM(I102:I106)</f>
        <v>0</v>
      </c>
      <c r="K101" s="280"/>
      <c r="M101" s="62" t="str">
        <f>IF(J101&gt;0.1,"MOSTRAR","OCULTAR")</f>
        <v>OCULTAR</v>
      </c>
      <c r="N101" s="62"/>
      <c r="O101" s="62"/>
      <c r="P101" s="62"/>
      <c r="Q101" s="62"/>
      <c r="R101" s="62"/>
      <c r="S101" s="62"/>
    </row>
    <row r="102" spans="2:19" ht="71.25" hidden="1" customHeight="1" x14ac:dyDescent="0.35">
      <c r="B102" s="544"/>
      <c r="C102" s="293"/>
      <c r="D102" s="235" t="s">
        <v>529</v>
      </c>
      <c r="E102" s="225"/>
      <c r="F102" s="268">
        <f>'PRECIO DEL METRAJE'!E106</f>
        <v>0</v>
      </c>
      <c r="G102" s="225" t="s">
        <v>414</v>
      </c>
      <c r="H102" s="272">
        <f>'PRECIO DEL METRAJE'!K106</f>
        <v>1528</v>
      </c>
      <c r="I102" s="272">
        <f>'PRECIO DEL METRAJE'!M106</f>
        <v>0</v>
      </c>
      <c r="J102" s="270"/>
      <c r="K102" s="280"/>
      <c r="M102" s="62" t="str">
        <f t="shared" si="9"/>
        <v>OCULTAR</v>
      </c>
      <c r="N102" s="62"/>
      <c r="O102" s="62"/>
      <c r="P102" s="62"/>
      <c r="Q102" s="62"/>
      <c r="R102" s="62"/>
      <c r="S102" s="62"/>
    </row>
    <row r="103" spans="2:19" ht="102.75" hidden="1" customHeight="1" x14ac:dyDescent="0.35">
      <c r="B103" s="544"/>
      <c r="C103" s="293"/>
      <c r="D103" s="235" t="s">
        <v>530</v>
      </c>
      <c r="E103" s="225"/>
      <c r="F103" s="268">
        <f>'PRECIO DEL METRAJE'!E107</f>
        <v>0</v>
      </c>
      <c r="G103" s="225" t="s">
        <v>414</v>
      </c>
      <c r="H103" s="272">
        <f>'PRECIO DEL METRAJE'!K107</f>
        <v>1588</v>
      </c>
      <c r="I103" s="272">
        <f>'PRECIO DEL METRAJE'!M107</f>
        <v>0</v>
      </c>
      <c r="J103" s="270"/>
      <c r="K103" s="280"/>
      <c r="M103" s="62" t="str">
        <f t="shared" si="9"/>
        <v>OCULTAR</v>
      </c>
      <c r="N103" s="62"/>
      <c r="O103" s="62"/>
      <c r="P103" s="62"/>
      <c r="Q103" s="62"/>
      <c r="R103" s="62"/>
      <c r="S103" s="62"/>
    </row>
    <row r="104" spans="2:19" ht="94.5" hidden="1" customHeight="1" x14ac:dyDescent="0.35">
      <c r="B104" s="544"/>
      <c r="C104" s="293"/>
      <c r="D104" s="235" t="s">
        <v>531</v>
      </c>
      <c r="E104" s="225"/>
      <c r="F104" s="268">
        <f>'PRECIO DEL METRAJE'!E108</f>
        <v>0</v>
      </c>
      <c r="G104" s="225" t="s">
        <v>414</v>
      </c>
      <c r="H104" s="272">
        <f>'PRECIO DEL METRAJE'!K108</f>
        <v>1520</v>
      </c>
      <c r="I104" s="272">
        <f>'PRECIO DEL METRAJE'!M108</f>
        <v>0</v>
      </c>
      <c r="J104" s="270"/>
      <c r="K104" s="280"/>
      <c r="M104" s="62" t="str">
        <f t="shared" si="9"/>
        <v>OCULTAR</v>
      </c>
      <c r="N104" s="62"/>
      <c r="O104" s="62"/>
      <c r="P104" s="62"/>
      <c r="Q104" s="62"/>
      <c r="R104" s="62"/>
      <c r="S104" s="62"/>
    </row>
    <row r="105" spans="2:19" ht="85.5" hidden="1" customHeight="1" x14ac:dyDescent="0.35">
      <c r="B105" s="544"/>
      <c r="C105" s="293"/>
      <c r="D105" s="235" t="s">
        <v>532</v>
      </c>
      <c r="E105" s="225"/>
      <c r="F105" s="268">
        <f>'PRECIO DEL METRAJE'!E109</f>
        <v>0</v>
      </c>
      <c r="G105" s="225" t="s">
        <v>414</v>
      </c>
      <c r="H105" s="272">
        <f>'PRECIO DEL METRAJE'!K109</f>
        <v>1660</v>
      </c>
      <c r="I105" s="272">
        <f>'PRECIO DEL METRAJE'!M109</f>
        <v>0</v>
      </c>
      <c r="J105" s="270"/>
      <c r="K105" s="280"/>
      <c r="M105" s="62" t="str">
        <f t="shared" si="9"/>
        <v>OCULTAR</v>
      </c>
      <c r="N105" s="62"/>
      <c r="O105" s="62"/>
      <c r="P105" s="62"/>
      <c r="Q105" s="62"/>
      <c r="R105" s="62"/>
      <c r="S105" s="62"/>
    </row>
    <row r="106" spans="2:19" ht="21.75" hidden="1" customHeight="1" x14ac:dyDescent="0.35">
      <c r="B106" s="230"/>
      <c r="C106" s="225"/>
      <c r="D106" s="235"/>
      <c r="E106" s="225"/>
      <c r="F106" s="268"/>
      <c r="G106" s="225"/>
      <c r="H106" s="272"/>
      <c r="I106" s="272"/>
      <c r="J106" s="270"/>
      <c r="K106" s="280"/>
      <c r="M106" s="62" t="str">
        <f t="shared" si="9"/>
        <v>OCULTAR</v>
      </c>
      <c r="N106" s="62"/>
      <c r="O106" s="62"/>
      <c r="P106" s="62"/>
      <c r="Q106" s="62"/>
      <c r="R106" s="62"/>
      <c r="S106" s="62"/>
    </row>
    <row r="107" spans="2:19" ht="21.75" hidden="1" customHeight="1" x14ac:dyDescent="0.35">
      <c r="B107" s="250">
        <f>IF(K107&gt;0,B94+1,B94)</f>
        <v>2</v>
      </c>
      <c r="C107" s="261"/>
      <c r="D107" s="251" t="s">
        <v>109</v>
      </c>
      <c r="E107" s="261"/>
      <c r="F107" s="291">
        <f>IF(K107&gt;1,1,0)</f>
        <v>0</v>
      </c>
      <c r="G107" s="261"/>
      <c r="H107" s="275"/>
      <c r="I107" s="275"/>
      <c r="J107" s="292"/>
      <c r="K107" s="253">
        <f>J108+J114</f>
        <v>0</v>
      </c>
      <c r="M107" s="62" t="str">
        <f>IF(K107&gt;0.1,"MOSTRAR","OCULTAR")</f>
        <v>OCULTAR</v>
      </c>
      <c r="N107" s="62"/>
      <c r="O107" s="62"/>
      <c r="P107" s="62"/>
      <c r="Q107" s="62"/>
      <c r="R107" s="62"/>
      <c r="S107" s="62"/>
    </row>
    <row r="108" spans="2:19" ht="21.75" hidden="1" customHeight="1" x14ac:dyDescent="0.35">
      <c r="B108" s="230">
        <f>IF(J108&gt;0,B107+0.1,B107)</f>
        <v>2</v>
      </c>
      <c r="C108" s="258"/>
      <c r="D108" s="278" t="s">
        <v>110</v>
      </c>
      <c r="E108" s="258"/>
      <c r="F108" s="285">
        <f>IF(J108&gt;1,1,0)</f>
        <v>0</v>
      </c>
      <c r="G108" s="258"/>
      <c r="H108" s="274"/>
      <c r="I108" s="274"/>
      <c r="J108" s="274">
        <f>SUM(I109:I113)</f>
        <v>0</v>
      </c>
      <c r="K108" s="280"/>
      <c r="M108" s="62" t="str">
        <f>IF(J108&gt;0.1,"MOSTRAR","OCULTAR")</f>
        <v>OCULTAR</v>
      </c>
      <c r="N108" s="62"/>
      <c r="O108" s="62"/>
      <c r="P108" s="62"/>
      <c r="Q108" s="62"/>
      <c r="R108" s="62"/>
      <c r="S108" s="62"/>
    </row>
    <row r="109" spans="2:19" ht="144" hidden="1" customHeight="1" x14ac:dyDescent="0.35">
      <c r="B109" s="544"/>
      <c r="C109" s="293"/>
      <c r="D109" s="236" t="s">
        <v>754</v>
      </c>
      <c r="E109" s="225"/>
      <c r="F109" s="268">
        <f>'PRECIO DEL METRAJE'!E114</f>
        <v>0</v>
      </c>
      <c r="G109" s="225" t="s">
        <v>414</v>
      </c>
      <c r="H109" s="272">
        <f>'PRECIO DEL METRAJE'!K114</f>
        <v>820</v>
      </c>
      <c r="I109" s="272">
        <f>'PRECIO DEL METRAJE'!M114</f>
        <v>0</v>
      </c>
      <c r="J109" s="270"/>
      <c r="K109" s="280"/>
      <c r="M109" s="62" t="str">
        <f t="shared" si="9"/>
        <v>OCULTAR</v>
      </c>
      <c r="N109" s="62"/>
      <c r="O109" s="62"/>
      <c r="P109" s="62"/>
      <c r="Q109" s="62"/>
      <c r="R109" s="62"/>
      <c r="S109" s="62"/>
    </row>
    <row r="110" spans="2:19" ht="137.25" hidden="1" customHeight="1" x14ac:dyDescent="0.35">
      <c r="B110" s="544"/>
      <c r="C110" s="293"/>
      <c r="D110" s="244" t="s">
        <v>755</v>
      </c>
      <c r="E110" s="225"/>
      <c r="F110" s="268">
        <f>'PRECIO DEL METRAJE'!E115</f>
        <v>0</v>
      </c>
      <c r="G110" s="225" t="s">
        <v>414</v>
      </c>
      <c r="H110" s="272">
        <f>'PRECIO DEL METRAJE'!K115</f>
        <v>856</v>
      </c>
      <c r="I110" s="272">
        <f>'PRECIO DEL METRAJE'!M115</f>
        <v>0</v>
      </c>
      <c r="J110" s="272"/>
      <c r="K110" s="280"/>
      <c r="M110" s="62" t="str">
        <f t="shared" si="9"/>
        <v>OCULTAR</v>
      </c>
      <c r="N110" s="62"/>
      <c r="O110" s="62"/>
      <c r="P110" s="62"/>
      <c r="Q110" s="62"/>
      <c r="R110" s="62"/>
      <c r="S110" s="62"/>
    </row>
    <row r="111" spans="2:19" ht="144" hidden="1" customHeight="1" x14ac:dyDescent="0.35">
      <c r="B111" s="544"/>
      <c r="C111" s="293"/>
      <c r="D111" s="235" t="s">
        <v>756</v>
      </c>
      <c r="E111" s="225"/>
      <c r="F111" s="268">
        <f>'PRECIO DEL METRAJE'!E116</f>
        <v>0</v>
      </c>
      <c r="G111" s="225" t="s">
        <v>414</v>
      </c>
      <c r="H111" s="272">
        <f>'PRECIO DEL METRAJE'!K116</f>
        <v>850</v>
      </c>
      <c r="I111" s="272">
        <f>'PRECIO DEL METRAJE'!M116</f>
        <v>0</v>
      </c>
      <c r="J111" s="270"/>
      <c r="K111" s="280"/>
      <c r="M111" s="62" t="str">
        <f t="shared" si="9"/>
        <v>OCULTAR</v>
      </c>
      <c r="N111" s="62"/>
      <c r="O111" s="62"/>
      <c r="P111" s="62"/>
      <c r="Q111" s="62"/>
      <c r="R111" s="62"/>
      <c r="S111" s="62"/>
    </row>
    <row r="112" spans="2:19" ht="145.5" hidden="1" customHeight="1" x14ac:dyDescent="0.35">
      <c r="B112" s="544"/>
      <c r="C112" s="293"/>
      <c r="D112" s="235" t="s">
        <v>757</v>
      </c>
      <c r="E112" s="225"/>
      <c r="F112" s="268">
        <f>'PRECIO DEL METRAJE'!E117</f>
        <v>0</v>
      </c>
      <c r="G112" s="225" t="s">
        <v>414</v>
      </c>
      <c r="H112" s="272">
        <f>'PRECIO DEL METRAJE'!K117</f>
        <v>860</v>
      </c>
      <c r="I112" s="272">
        <f>'PRECIO DEL METRAJE'!M117</f>
        <v>0</v>
      </c>
      <c r="J112" s="270"/>
      <c r="K112" s="280"/>
      <c r="M112" s="62" t="str">
        <f t="shared" si="9"/>
        <v>OCULTAR</v>
      </c>
      <c r="N112" s="62"/>
      <c r="O112" s="62"/>
      <c r="P112" s="62"/>
      <c r="Q112" s="62"/>
      <c r="R112" s="62"/>
      <c r="S112" s="62"/>
    </row>
    <row r="113" spans="2:19" ht="7.5" hidden="1" customHeight="1" x14ac:dyDescent="0.35">
      <c r="B113" s="230"/>
      <c r="C113" s="225"/>
      <c r="D113" s="229"/>
      <c r="E113" s="225"/>
      <c r="F113" s="268"/>
      <c r="G113" s="225"/>
      <c r="H113" s="272"/>
      <c r="I113" s="272"/>
      <c r="J113" s="270"/>
      <c r="K113" s="280"/>
      <c r="M113" s="62" t="str">
        <f t="shared" si="9"/>
        <v>OCULTAR</v>
      </c>
      <c r="N113" s="62"/>
      <c r="O113" s="62"/>
      <c r="P113" s="62"/>
      <c r="Q113" s="62"/>
      <c r="R113" s="62"/>
      <c r="S113" s="62"/>
    </row>
    <row r="114" spans="2:19" ht="21.75" hidden="1" customHeight="1" x14ac:dyDescent="0.35">
      <c r="B114" s="230">
        <f>IF(J114&gt;0,B108+0.1,B108)</f>
        <v>2</v>
      </c>
      <c r="C114" s="258"/>
      <c r="D114" s="278" t="s">
        <v>111</v>
      </c>
      <c r="E114" s="258"/>
      <c r="F114" s="285">
        <f>IF(J114&gt;1,1,0)</f>
        <v>0</v>
      </c>
      <c r="G114" s="258"/>
      <c r="H114" s="274"/>
      <c r="I114" s="274"/>
      <c r="J114" s="274">
        <f>SUM(I115:I119)</f>
        <v>0</v>
      </c>
      <c r="K114" s="280"/>
      <c r="M114" s="62" t="str">
        <f>IF(J114&gt;0.1,"MOSTRAR","OCULTAR")</f>
        <v>OCULTAR</v>
      </c>
      <c r="N114" s="62"/>
      <c r="O114" s="62"/>
      <c r="P114" s="62"/>
      <c r="Q114" s="62"/>
      <c r="R114" s="62"/>
      <c r="S114" s="62"/>
    </row>
    <row r="115" spans="2:19" ht="110.25" hidden="1" customHeight="1" x14ac:dyDescent="0.35">
      <c r="B115" s="544"/>
      <c r="C115" s="293"/>
      <c r="D115" s="235" t="s">
        <v>758</v>
      </c>
      <c r="E115" s="225"/>
      <c r="F115" s="268">
        <f>'PRECIO DEL METRAJE'!E120</f>
        <v>0</v>
      </c>
      <c r="G115" s="225" t="s">
        <v>414</v>
      </c>
      <c r="H115" s="272">
        <f>'PRECIO DEL METRAJE'!K120</f>
        <v>1528</v>
      </c>
      <c r="I115" s="272">
        <f>'PRECIO DEL METRAJE'!M120</f>
        <v>0</v>
      </c>
      <c r="J115" s="270"/>
      <c r="K115" s="280"/>
      <c r="M115" s="62" t="str">
        <f t="shared" si="9"/>
        <v>OCULTAR</v>
      </c>
      <c r="N115" s="62"/>
      <c r="O115" s="62"/>
      <c r="P115" s="62"/>
      <c r="Q115" s="62"/>
      <c r="R115" s="62"/>
      <c r="S115" s="62"/>
    </row>
    <row r="116" spans="2:19" ht="98.25" hidden="1" customHeight="1" x14ac:dyDescent="0.35">
      <c r="B116" s="544"/>
      <c r="C116" s="293"/>
      <c r="D116" s="235" t="s">
        <v>759</v>
      </c>
      <c r="E116" s="225"/>
      <c r="F116" s="268">
        <f>'PRECIO DEL METRAJE'!E121</f>
        <v>0</v>
      </c>
      <c r="G116" s="225" t="s">
        <v>414</v>
      </c>
      <c r="H116" s="272">
        <f>'PRECIO DEL METRAJE'!K121</f>
        <v>1588</v>
      </c>
      <c r="I116" s="272">
        <f>'PRECIO DEL METRAJE'!M121</f>
        <v>0</v>
      </c>
      <c r="J116" s="270"/>
      <c r="K116" s="280"/>
      <c r="M116" s="62" t="str">
        <f t="shared" si="9"/>
        <v>OCULTAR</v>
      </c>
      <c r="N116" s="62"/>
      <c r="O116" s="62"/>
      <c r="P116" s="62"/>
      <c r="Q116" s="62"/>
      <c r="R116" s="62"/>
      <c r="S116" s="62"/>
    </row>
    <row r="117" spans="2:19" ht="96.75" hidden="1" customHeight="1" x14ac:dyDescent="0.35">
      <c r="B117" s="544"/>
      <c r="C117" s="293"/>
      <c r="D117" s="235" t="s">
        <v>760</v>
      </c>
      <c r="E117" s="225"/>
      <c r="F117" s="268">
        <f>'PRECIO DEL METRAJE'!E122</f>
        <v>0</v>
      </c>
      <c r="G117" s="225" t="s">
        <v>414</v>
      </c>
      <c r="H117" s="272">
        <f>'PRECIO DEL METRAJE'!K122</f>
        <v>1520</v>
      </c>
      <c r="I117" s="272">
        <f>'PRECIO DEL METRAJE'!M122</f>
        <v>0</v>
      </c>
      <c r="J117" s="270"/>
      <c r="K117" s="280"/>
      <c r="M117" s="62" t="str">
        <f t="shared" si="9"/>
        <v>OCULTAR</v>
      </c>
      <c r="N117" s="62"/>
      <c r="O117" s="62"/>
      <c r="P117" s="62"/>
      <c r="Q117" s="62"/>
      <c r="R117" s="62"/>
      <c r="S117" s="62"/>
    </row>
    <row r="118" spans="2:19" ht="111" hidden="1" customHeight="1" x14ac:dyDescent="0.35">
      <c r="B118" s="544"/>
      <c r="C118" s="293"/>
      <c r="D118" s="235" t="s">
        <v>761</v>
      </c>
      <c r="E118" s="225"/>
      <c r="F118" s="268">
        <f>'PRECIO DEL METRAJE'!E123</f>
        <v>0</v>
      </c>
      <c r="G118" s="225" t="s">
        <v>414</v>
      </c>
      <c r="H118" s="272">
        <f>'PRECIO DEL METRAJE'!K123</f>
        <v>1660</v>
      </c>
      <c r="I118" s="272">
        <f>'PRECIO DEL METRAJE'!M123</f>
        <v>0</v>
      </c>
      <c r="J118" s="270"/>
      <c r="K118" s="280"/>
      <c r="M118" s="62" t="str">
        <f t="shared" si="9"/>
        <v>OCULTAR</v>
      </c>
      <c r="N118" s="62"/>
      <c r="O118" s="62"/>
      <c r="P118" s="62"/>
      <c r="Q118" s="62"/>
      <c r="R118" s="62"/>
      <c r="S118" s="62"/>
    </row>
    <row r="119" spans="2:19" ht="12.75" hidden="1" customHeight="1" x14ac:dyDescent="0.35">
      <c r="B119" s="230"/>
      <c r="C119" s="225"/>
      <c r="D119" s="235"/>
      <c r="E119" s="225"/>
      <c r="F119" s="268"/>
      <c r="G119" s="225"/>
      <c r="H119" s="272"/>
      <c r="I119" s="272"/>
      <c r="J119" s="270"/>
      <c r="K119" s="280"/>
      <c r="M119" s="62" t="str">
        <f t="shared" si="9"/>
        <v>OCULTAR</v>
      </c>
      <c r="N119" s="62"/>
      <c r="O119" s="62"/>
      <c r="P119" s="62"/>
      <c r="Q119" s="62"/>
      <c r="R119" s="62"/>
      <c r="S119" s="62"/>
    </row>
    <row r="120" spans="2:19" ht="18" hidden="1" customHeight="1" x14ac:dyDescent="0.35">
      <c r="B120" s="250">
        <f>IF(K120&gt;0,B107+1,B107)</f>
        <v>2</v>
      </c>
      <c r="C120" s="261"/>
      <c r="D120" s="251" t="s">
        <v>112</v>
      </c>
      <c r="E120" s="261"/>
      <c r="F120" s="291">
        <f>IF(K120&gt;1,1,0)</f>
        <v>0</v>
      </c>
      <c r="G120" s="261"/>
      <c r="H120" s="275"/>
      <c r="I120" s="275"/>
      <c r="J120" s="275"/>
      <c r="K120" s="253">
        <f>SUM(J121)</f>
        <v>0</v>
      </c>
      <c r="M120" s="62" t="str">
        <f>IF(K120&gt;0.1,"MOSTRAR","OCULTAR")</f>
        <v>OCULTAR</v>
      </c>
      <c r="N120" s="62"/>
      <c r="O120" s="62"/>
      <c r="P120" s="62"/>
      <c r="Q120" s="62"/>
      <c r="R120" s="62"/>
      <c r="S120" s="62"/>
    </row>
    <row r="121" spans="2:19" ht="19.5" hidden="1" customHeight="1" x14ac:dyDescent="0.35">
      <c r="B121" s="230">
        <f>IF(J121&gt;0,B120+0.1,B120)</f>
        <v>2</v>
      </c>
      <c r="C121" s="258"/>
      <c r="D121" s="278" t="s">
        <v>112</v>
      </c>
      <c r="E121" s="258"/>
      <c r="F121" s="285">
        <f>IF(J121&gt;1,1,0)</f>
        <v>0</v>
      </c>
      <c r="G121" s="258"/>
      <c r="H121" s="274"/>
      <c r="I121" s="274"/>
      <c r="J121" s="274">
        <f>SUM(I122:I144)</f>
        <v>0</v>
      </c>
      <c r="K121" s="280"/>
      <c r="M121" s="62" t="str">
        <f>IF(J121&gt;0.1,"MOSTRAR","OCULTAR")</f>
        <v>OCULTAR</v>
      </c>
      <c r="N121" s="62"/>
      <c r="O121" s="62"/>
      <c r="P121" s="62"/>
      <c r="Q121" s="62"/>
      <c r="R121" s="62"/>
      <c r="S121" s="62"/>
    </row>
    <row r="122" spans="2:19" ht="50.25" hidden="1" customHeight="1" x14ac:dyDescent="0.35">
      <c r="B122" s="230"/>
      <c r="C122" s="640"/>
      <c r="D122" s="229" t="s">
        <v>420</v>
      </c>
      <c r="E122" s="225"/>
      <c r="F122" s="268">
        <f>'PRECIO DEL METRAJE'!E126</f>
        <v>0</v>
      </c>
      <c r="G122" s="225" t="s">
        <v>414</v>
      </c>
      <c r="H122" s="272">
        <f>'PRECIO DEL METRAJE'!K126</f>
        <v>36</v>
      </c>
      <c r="I122" s="272">
        <f t="shared" ref="I122:I135" si="10">H122*F122</f>
        <v>0</v>
      </c>
      <c r="J122" s="270"/>
      <c r="K122" s="280"/>
      <c r="M122" s="62" t="str">
        <f t="shared" si="9"/>
        <v>OCULTAR</v>
      </c>
      <c r="N122" s="62"/>
      <c r="O122" s="62"/>
      <c r="P122" s="62"/>
      <c r="Q122" s="62"/>
      <c r="R122" s="62"/>
      <c r="S122" s="62"/>
    </row>
    <row r="123" spans="2:19" ht="54.75" hidden="1" customHeight="1" x14ac:dyDescent="0.35">
      <c r="B123" s="230"/>
      <c r="C123" s="640"/>
      <c r="D123" s="229" t="s">
        <v>421</v>
      </c>
      <c r="E123" s="225"/>
      <c r="F123" s="268">
        <f>'PRECIO DEL METRAJE'!E127</f>
        <v>0</v>
      </c>
      <c r="G123" s="225" t="s">
        <v>414</v>
      </c>
      <c r="H123" s="272">
        <f>'PRECIO DEL METRAJE'!K127</f>
        <v>53</v>
      </c>
      <c r="I123" s="272">
        <f t="shared" si="10"/>
        <v>0</v>
      </c>
      <c r="J123" s="270"/>
      <c r="K123" s="280"/>
      <c r="M123" s="62" t="str">
        <f t="shared" si="9"/>
        <v>OCULTAR</v>
      </c>
      <c r="N123" s="62"/>
      <c r="O123" s="62"/>
      <c r="P123" s="62"/>
      <c r="Q123" s="62"/>
      <c r="R123" s="62"/>
      <c r="S123" s="62"/>
    </row>
    <row r="124" spans="2:19" ht="78.75" hidden="1" customHeight="1" x14ac:dyDescent="0.35">
      <c r="B124" s="230"/>
      <c r="C124" s="423"/>
      <c r="D124" s="235" t="s">
        <v>533</v>
      </c>
      <c r="E124" s="225"/>
      <c r="F124" s="268">
        <f>'PRECIO DEL METRAJE'!E128</f>
        <v>0</v>
      </c>
      <c r="G124" s="225" t="s">
        <v>414</v>
      </c>
      <c r="H124" s="272">
        <f>'PRECIO DEL METRAJE'!K128</f>
        <v>165.7</v>
      </c>
      <c r="I124" s="272">
        <f t="shared" si="10"/>
        <v>0</v>
      </c>
      <c r="J124" s="270"/>
      <c r="K124" s="280"/>
      <c r="M124" s="62" t="str">
        <f t="shared" si="9"/>
        <v>OCULTAR</v>
      </c>
      <c r="N124" s="62"/>
      <c r="O124" s="62"/>
      <c r="P124" s="62"/>
      <c r="Q124" s="62"/>
      <c r="R124" s="62"/>
      <c r="S124" s="62"/>
    </row>
    <row r="125" spans="2:19" ht="84" hidden="1" customHeight="1" x14ac:dyDescent="0.35">
      <c r="B125" s="230"/>
      <c r="C125" s="423"/>
      <c r="D125" s="235" t="s">
        <v>534</v>
      </c>
      <c r="E125" s="225"/>
      <c r="F125" s="268">
        <f>'PRECIO DEL METRAJE'!E129</f>
        <v>0</v>
      </c>
      <c r="G125" s="225" t="s">
        <v>414</v>
      </c>
      <c r="H125" s="272">
        <f>'PRECIO DEL METRAJE'!K129</f>
        <v>216</v>
      </c>
      <c r="I125" s="272">
        <f t="shared" si="10"/>
        <v>0</v>
      </c>
      <c r="J125" s="270"/>
      <c r="K125" s="280"/>
      <c r="M125" s="62" t="str">
        <f t="shared" si="9"/>
        <v>OCULTAR</v>
      </c>
      <c r="N125" s="62"/>
      <c r="O125" s="62"/>
      <c r="P125" s="62"/>
      <c r="Q125" s="62"/>
      <c r="R125" s="62"/>
      <c r="S125" s="62"/>
    </row>
    <row r="126" spans="2:19" ht="18" hidden="1" customHeight="1" x14ac:dyDescent="0.35">
      <c r="B126" s="230"/>
      <c r="C126" s="423"/>
      <c r="D126" s="229" t="s">
        <v>535</v>
      </c>
      <c r="E126" s="225"/>
      <c r="F126" s="268">
        <f>'PRECIO DEL METRAJE'!E130</f>
        <v>0</v>
      </c>
      <c r="G126" s="225" t="s">
        <v>414</v>
      </c>
      <c r="H126" s="272">
        <f>'PRECIO DEL METRAJE'!K130</f>
        <v>36</v>
      </c>
      <c r="I126" s="272">
        <f t="shared" si="10"/>
        <v>0</v>
      </c>
      <c r="J126" s="270"/>
      <c r="K126" s="280"/>
      <c r="M126" s="62" t="str">
        <f t="shared" si="9"/>
        <v>OCULTAR</v>
      </c>
      <c r="N126" s="62"/>
      <c r="O126" s="62"/>
      <c r="P126" s="62"/>
      <c r="Q126" s="62"/>
      <c r="R126" s="62"/>
      <c r="S126" s="62"/>
    </row>
    <row r="127" spans="2:19" ht="18" hidden="1" customHeight="1" x14ac:dyDescent="0.35">
      <c r="B127" s="230"/>
      <c r="C127" s="423"/>
      <c r="D127" s="229" t="s">
        <v>536</v>
      </c>
      <c r="E127" s="225"/>
      <c r="F127" s="268">
        <f>'PRECIO DEL METRAJE'!E131</f>
        <v>0</v>
      </c>
      <c r="G127" s="225" t="s">
        <v>414</v>
      </c>
      <c r="H127" s="272">
        <f>'PRECIO DEL METRAJE'!K131</f>
        <v>90</v>
      </c>
      <c r="I127" s="272">
        <f t="shared" si="10"/>
        <v>0</v>
      </c>
      <c r="J127" s="270"/>
      <c r="K127" s="280"/>
      <c r="M127" s="62" t="str">
        <f t="shared" si="9"/>
        <v>OCULTAR</v>
      </c>
      <c r="N127" s="62"/>
      <c r="O127" s="62"/>
      <c r="P127" s="62"/>
      <c r="Q127" s="62"/>
      <c r="R127" s="62"/>
      <c r="S127" s="62"/>
    </row>
    <row r="128" spans="2:19" ht="48" hidden="1" customHeight="1" x14ac:dyDescent="0.35">
      <c r="B128" s="230"/>
      <c r="C128" s="423"/>
      <c r="D128" s="229" t="s">
        <v>537</v>
      </c>
      <c r="E128" s="225"/>
      <c r="F128" s="268">
        <f>'PRECIO DEL METRAJE'!E132</f>
        <v>0</v>
      </c>
      <c r="G128" s="225" t="s">
        <v>414</v>
      </c>
      <c r="H128" s="272">
        <f>'PRECIO DEL METRAJE'!K132</f>
        <v>79</v>
      </c>
      <c r="I128" s="272">
        <f t="shared" si="10"/>
        <v>0</v>
      </c>
      <c r="J128" s="270"/>
      <c r="K128" s="280"/>
      <c r="M128" s="62" t="str">
        <f t="shared" si="9"/>
        <v>OCULTAR</v>
      </c>
      <c r="N128" s="62"/>
      <c r="O128" s="62"/>
      <c r="P128" s="62"/>
      <c r="Q128" s="62"/>
      <c r="R128" s="62"/>
      <c r="S128" s="62"/>
    </row>
    <row r="129" spans="2:19" ht="55.5" hidden="1" customHeight="1" x14ac:dyDescent="0.35">
      <c r="B129" s="230"/>
      <c r="C129" s="423"/>
      <c r="D129" s="229" t="s">
        <v>538</v>
      </c>
      <c r="E129" s="225"/>
      <c r="F129" s="268">
        <f>'PRECIO DEL METRAJE'!E133</f>
        <v>0</v>
      </c>
      <c r="G129" s="225" t="s">
        <v>414</v>
      </c>
      <c r="H129" s="272">
        <f>'PRECIO DEL METRAJE'!K133</f>
        <v>104.2</v>
      </c>
      <c r="I129" s="272">
        <f t="shared" si="10"/>
        <v>0</v>
      </c>
      <c r="J129" s="270"/>
      <c r="K129" s="280"/>
      <c r="M129" s="62" t="str">
        <f t="shared" si="9"/>
        <v>OCULTAR</v>
      </c>
      <c r="N129" s="62"/>
      <c r="O129" s="62"/>
      <c r="P129" s="62"/>
      <c r="Q129" s="62"/>
      <c r="R129" s="62"/>
      <c r="S129" s="62"/>
    </row>
    <row r="130" spans="2:19" ht="98.25" hidden="1" customHeight="1" x14ac:dyDescent="0.35">
      <c r="B130" s="230"/>
      <c r="C130" s="423"/>
      <c r="D130" s="229" t="s">
        <v>539</v>
      </c>
      <c r="E130" s="225"/>
      <c r="F130" s="268">
        <f>'PRECIO DEL METRAJE'!E134</f>
        <v>0</v>
      </c>
      <c r="G130" s="225" t="s">
        <v>414</v>
      </c>
      <c r="H130" s="272">
        <f>'PRECIO DEL METRAJE'!K134</f>
        <v>122.4</v>
      </c>
      <c r="I130" s="272">
        <f t="shared" si="10"/>
        <v>0</v>
      </c>
      <c r="J130" s="270"/>
      <c r="K130" s="280"/>
      <c r="M130" s="62" t="str">
        <f t="shared" si="9"/>
        <v>OCULTAR</v>
      </c>
      <c r="N130" s="62"/>
      <c r="O130" s="62"/>
      <c r="P130" s="62"/>
      <c r="Q130" s="62"/>
      <c r="R130" s="62"/>
      <c r="S130" s="62"/>
    </row>
    <row r="131" spans="2:19" ht="92.25" hidden="1" customHeight="1" x14ac:dyDescent="0.35">
      <c r="B131" s="230"/>
      <c r="C131" s="423"/>
      <c r="D131" s="229" t="s">
        <v>540</v>
      </c>
      <c r="E131" s="225"/>
      <c r="F131" s="268">
        <f>'PRECIO DEL METRAJE'!E135</f>
        <v>0</v>
      </c>
      <c r="G131" s="225" t="s">
        <v>414</v>
      </c>
      <c r="H131" s="272">
        <f>'PRECIO DEL METRAJE'!K135</f>
        <v>136</v>
      </c>
      <c r="I131" s="272">
        <f t="shared" si="10"/>
        <v>0</v>
      </c>
      <c r="J131" s="270"/>
      <c r="K131" s="280"/>
      <c r="M131" s="62" t="str">
        <f t="shared" si="9"/>
        <v>OCULTAR</v>
      </c>
      <c r="N131" s="62"/>
      <c r="O131" s="62"/>
      <c r="P131" s="62"/>
      <c r="Q131" s="62"/>
      <c r="R131" s="62"/>
      <c r="S131" s="62"/>
    </row>
    <row r="132" spans="2:19" ht="18" hidden="1" customHeight="1" x14ac:dyDescent="0.35">
      <c r="B132" s="230"/>
      <c r="C132" s="423"/>
      <c r="D132" s="229" t="s">
        <v>541</v>
      </c>
      <c r="E132" s="225"/>
      <c r="F132" s="268">
        <f>'PRECIO DEL METRAJE'!E136</f>
        <v>0</v>
      </c>
      <c r="G132" s="225" t="s">
        <v>414</v>
      </c>
      <c r="H132" s="272">
        <f>'PRECIO DEL METRAJE'!K136</f>
        <v>0</v>
      </c>
      <c r="I132" s="272">
        <f t="shared" si="10"/>
        <v>0</v>
      </c>
      <c r="J132" s="270"/>
      <c r="K132" s="280"/>
      <c r="M132" s="62" t="str">
        <f t="shared" si="9"/>
        <v>OCULTAR</v>
      </c>
      <c r="N132" s="62"/>
      <c r="O132" s="62"/>
      <c r="P132" s="62"/>
      <c r="Q132" s="62"/>
      <c r="R132" s="62"/>
      <c r="S132" s="62"/>
    </row>
    <row r="133" spans="2:19" ht="83.25" hidden="1" customHeight="1" x14ac:dyDescent="0.35">
      <c r="B133" s="230"/>
      <c r="C133" s="423"/>
      <c r="D133" s="229" t="s">
        <v>542</v>
      </c>
      <c r="E133" s="225"/>
      <c r="F133" s="268">
        <f>'PRECIO DEL METRAJE'!E137</f>
        <v>0</v>
      </c>
      <c r="G133" s="225" t="s">
        <v>414</v>
      </c>
      <c r="H133" s="272">
        <f>'PRECIO DEL METRAJE'!K137</f>
        <v>241</v>
      </c>
      <c r="I133" s="272">
        <f t="shared" si="10"/>
        <v>0</v>
      </c>
      <c r="J133" s="270"/>
      <c r="K133" s="280"/>
      <c r="M133" s="62" t="str">
        <f t="shared" si="9"/>
        <v>OCULTAR</v>
      </c>
      <c r="N133" s="62"/>
      <c r="O133" s="62"/>
      <c r="P133" s="62"/>
      <c r="Q133" s="62"/>
      <c r="R133" s="62"/>
      <c r="S133" s="62"/>
    </row>
    <row r="134" spans="2:19" ht="18" hidden="1" customHeight="1" x14ac:dyDescent="0.35">
      <c r="B134" s="230"/>
      <c r="C134" s="423"/>
      <c r="D134" s="229" t="s">
        <v>543</v>
      </c>
      <c r="E134" s="225"/>
      <c r="F134" s="268">
        <f>'PRECIO DEL METRAJE'!E138</f>
        <v>0</v>
      </c>
      <c r="G134" s="225" t="s">
        <v>414</v>
      </c>
      <c r="H134" s="272">
        <f>'PRECIO DEL METRAJE'!K138</f>
        <v>0</v>
      </c>
      <c r="I134" s="272">
        <f t="shared" si="10"/>
        <v>0</v>
      </c>
      <c r="J134" s="270"/>
      <c r="K134" s="280"/>
      <c r="M134" s="62" t="str">
        <f t="shared" si="9"/>
        <v>OCULTAR</v>
      </c>
      <c r="N134" s="62"/>
      <c r="O134" s="62"/>
      <c r="P134" s="62"/>
      <c r="Q134" s="62"/>
      <c r="R134" s="62"/>
      <c r="S134" s="62"/>
    </row>
    <row r="135" spans="2:19" ht="18" hidden="1" customHeight="1" x14ac:dyDescent="0.35">
      <c r="B135" s="230"/>
      <c r="C135" s="423"/>
      <c r="D135" s="229" t="s">
        <v>544</v>
      </c>
      <c r="E135" s="225"/>
      <c r="F135" s="268">
        <f>'PRECIO DEL METRAJE'!E139</f>
        <v>0</v>
      </c>
      <c r="G135" s="225" t="s">
        <v>414</v>
      </c>
      <c r="H135" s="272">
        <f>'PRECIO DEL METRAJE'!K139</f>
        <v>340.5</v>
      </c>
      <c r="I135" s="272">
        <f t="shared" si="10"/>
        <v>0</v>
      </c>
      <c r="J135" s="270"/>
      <c r="K135" s="280"/>
      <c r="M135" s="62" t="str">
        <f t="shared" si="9"/>
        <v>OCULTAR</v>
      </c>
      <c r="N135" s="62"/>
      <c r="O135" s="62"/>
      <c r="P135" s="62"/>
      <c r="Q135" s="62"/>
      <c r="R135" s="62"/>
      <c r="S135" s="62"/>
    </row>
    <row r="136" spans="2:19" ht="78.75" hidden="1" customHeight="1" x14ac:dyDescent="0.35">
      <c r="B136" s="230"/>
      <c r="C136" s="423"/>
      <c r="D136" s="229" t="s">
        <v>545</v>
      </c>
      <c r="E136" s="225"/>
      <c r="F136" s="268">
        <f>'PRECIO DEL METRAJE'!E140</f>
        <v>0</v>
      </c>
      <c r="G136" s="225" t="s">
        <v>414</v>
      </c>
      <c r="H136" s="272">
        <f>'PRECIO DEL METRAJE'!K140</f>
        <v>0</v>
      </c>
      <c r="I136" s="272">
        <f t="shared" ref="I136:I144" si="11">H136*F136</f>
        <v>0</v>
      </c>
      <c r="J136" s="270"/>
      <c r="K136" s="280"/>
      <c r="L136" s="61"/>
      <c r="M136" s="62" t="str">
        <f t="shared" si="9"/>
        <v>OCULTAR</v>
      </c>
      <c r="N136" s="62"/>
      <c r="O136" s="62"/>
      <c r="P136" s="62"/>
      <c r="Q136" s="62"/>
      <c r="R136" s="62"/>
      <c r="S136" s="62"/>
    </row>
    <row r="137" spans="2:19" ht="81" hidden="1" customHeight="1" x14ac:dyDescent="0.35">
      <c r="B137" s="230"/>
      <c r="C137" s="423"/>
      <c r="D137" s="229" t="s">
        <v>546</v>
      </c>
      <c r="E137" s="225"/>
      <c r="F137" s="268">
        <f>'PRECIO DEL METRAJE'!E141</f>
        <v>0</v>
      </c>
      <c r="G137" s="225" t="s">
        <v>414</v>
      </c>
      <c r="H137" s="272">
        <f>'PRECIO DEL METRAJE'!K141</f>
        <v>78.399999999999991</v>
      </c>
      <c r="I137" s="272">
        <f t="shared" si="11"/>
        <v>0</v>
      </c>
      <c r="J137" s="270"/>
      <c r="K137" s="280"/>
      <c r="M137" s="62" t="str">
        <f t="shared" si="9"/>
        <v>OCULTAR</v>
      </c>
      <c r="N137" s="62"/>
      <c r="O137" s="62"/>
      <c r="P137" s="62"/>
      <c r="Q137" s="62"/>
      <c r="R137" s="62"/>
      <c r="S137" s="62"/>
    </row>
    <row r="138" spans="2:19" ht="90.75" hidden="1" customHeight="1" x14ac:dyDescent="0.35">
      <c r="B138" s="230"/>
      <c r="C138" s="423"/>
      <c r="D138" s="229" t="s">
        <v>547</v>
      </c>
      <c r="E138" s="225"/>
      <c r="F138" s="268">
        <f>'PRECIO DEL METRAJE'!E142</f>
        <v>0</v>
      </c>
      <c r="G138" s="225" t="s">
        <v>414</v>
      </c>
      <c r="H138" s="272">
        <f>'PRECIO DEL METRAJE'!K142</f>
        <v>90.699999999999989</v>
      </c>
      <c r="I138" s="272">
        <f t="shared" si="11"/>
        <v>0</v>
      </c>
      <c r="J138" s="270"/>
      <c r="K138" s="280"/>
      <c r="M138" s="62" t="str">
        <f t="shared" si="9"/>
        <v>OCULTAR</v>
      </c>
      <c r="N138" s="62"/>
      <c r="O138" s="62"/>
      <c r="P138" s="62"/>
      <c r="Q138" s="62"/>
      <c r="R138" s="62"/>
      <c r="S138" s="62"/>
    </row>
    <row r="139" spans="2:19" ht="98.25" hidden="1" customHeight="1" x14ac:dyDescent="0.35">
      <c r="B139" s="230"/>
      <c r="C139" s="423"/>
      <c r="D139" s="229" t="s">
        <v>548</v>
      </c>
      <c r="E139" s="225"/>
      <c r="F139" s="268">
        <f>'PRECIO DEL METRAJE'!E143</f>
        <v>0</v>
      </c>
      <c r="G139" s="225" t="s">
        <v>414</v>
      </c>
      <c r="H139" s="272">
        <f>'PRECIO DEL METRAJE'!K143</f>
        <v>116.19999999999999</v>
      </c>
      <c r="I139" s="272">
        <f t="shared" si="11"/>
        <v>0</v>
      </c>
      <c r="J139" s="270"/>
      <c r="K139" s="280"/>
      <c r="M139" s="62" t="str">
        <f t="shared" ref="M139:M189" si="12">IF(F139&gt;0.1,"MOSTRAR","OCULTAR")</f>
        <v>OCULTAR</v>
      </c>
      <c r="N139" s="62"/>
      <c r="O139" s="62"/>
      <c r="P139" s="62"/>
      <c r="Q139" s="62"/>
      <c r="R139" s="62"/>
      <c r="S139" s="62"/>
    </row>
    <row r="140" spans="2:19" ht="93" hidden="1" customHeight="1" x14ac:dyDescent="0.35">
      <c r="B140" s="230"/>
      <c r="C140" s="423"/>
      <c r="D140" s="229" t="s">
        <v>549</v>
      </c>
      <c r="E140" s="225"/>
      <c r="F140" s="268">
        <f>'PRECIO DEL METRAJE'!E144</f>
        <v>0</v>
      </c>
      <c r="G140" s="225" t="s">
        <v>414</v>
      </c>
      <c r="H140" s="272">
        <f>'PRECIO DEL METRAJE'!K144</f>
        <v>330</v>
      </c>
      <c r="I140" s="272">
        <f t="shared" si="11"/>
        <v>0</v>
      </c>
      <c r="J140" s="270"/>
      <c r="K140" s="280"/>
      <c r="M140" s="62" t="str">
        <f t="shared" si="12"/>
        <v>OCULTAR</v>
      </c>
      <c r="N140" s="62"/>
      <c r="O140" s="62"/>
      <c r="P140" s="62"/>
      <c r="Q140" s="62"/>
      <c r="R140" s="62"/>
      <c r="S140" s="62"/>
    </row>
    <row r="141" spans="2:19" ht="18" hidden="1" customHeight="1" x14ac:dyDescent="0.35">
      <c r="B141" s="230"/>
      <c r="C141" s="423"/>
      <c r="D141" s="229" t="s">
        <v>550</v>
      </c>
      <c r="E141" s="225"/>
      <c r="F141" s="268">
        <f>'PRECIO DEL METRAJE'!E145</f>
        <v>0</v>
      </c>
      <c r="G141" s="225" t="s">
        <v>414</v>
      </c>
      <c r="H141" s="272">
        <f>'PRECIO DEL METRAJE'!K145</f>
        <v>0</v>
      </c>
      <c r="I141" s="272">
        <f t="shared" si="11"/>
        <v>0</v>
      </c>
      <c r="J141" s="270"/>
      <c r="K141" s="280"/>
      <c r="M141" s="62" t="str">
        <f t="shared" si="12"/>
        <v>OCULTAR</v>
      </c>
      <c r="N141" s="62"/>
      <c r="O141" s="62"/>
      <c r="P141" s="62"/>
      <c r="Q141" s="62"/>
      <c r="R141" s="62"/>
      <c r="S141" s="62"/>
    </row>
    <row r="142" spans="2:19" ht="18" hidden="1" customHeight="1" x14ac:dyDescent="0.35">
      <c r="B142" s="230"/>
      <c r="C142" s="423"/>
      <c r="D142" s="229" t="s">
        <v>551</v>
      </c>
      <c r="E142" s="225"/>
      <c r="F142" s="268">
        <f>'PRECIO DEL METRAJE'!E146</f>
        <v>0</v>
      </c>
      <c r="G142" s="225" t="s">
        <v>414</v>
      </c>
      <c r="H142" s="272">
        <f>'PRECIO DEL METRAJE'!K146</f>
        <v>0</v>
      </c>
      <c r="I142" s="272">
        <f t="shared" si="11"/>
        <v>0</v>
      </c>
      <c r="J142" s="270"/>
      <c r="K142" s="280"/>
      <c r="M142" s="62" t="str">
        <f t="shared" si="12"/>
        <v>OCULTAR</v>
      </c>
      <c r="N142" s="62"/>
      <c r="O142" s="62"/>
      <c r="P142" s="62"/>
      <c r="Q142" s="62"/>
      <c r="R142" s="62"/>
      <c r="S142" s="62"/>
    </row>
    <row r="143" spans="2:19" ht="21" hidden="1" customHeight="1" x14ac:dyDescent="0.35">
      <c r="B143" s="230"/>
      <c r="C143" s="423"/>
      <c r="D143" s="229" t="s">
        <v>552</v>
      </c>
      <c r="E143" s="225"/>
      <c r="F143" s="268">
        <f>'PRECIO DEL METRAJE'!E147</f>
        <v>0</v>
      </c>
      <c r="G143" s="225" t="s">
        <v>428</v>
      </c>
      <c r="H143" s="272">
        <f>'PRECIO DEL METRAJE'!K147</f>
        <v>215</v>
      </c>
      <c r="I143" s="272">
        <f t="shared" si="11"/>
        <v>0</v>
      </c>
      <c r="J143" s="270"/>
      <c r="K143" s="280"/>
      <c r="M143" s="62" t="str">
        <f t="shared" si="12"/>
        <v>OCULTAR</v>
      </c>
      <c r="N143" s="62"/>
      <c r="O143" s="62"/>
      <c r="P143" s="62"/>
      <c r="Q143" s="62"/>
      <c r="R143" s="62"/>
      <c r="S143" s="62"/>
    </row>
    <row r="144" spans="2:19" ht="48" hidden="1" customHeight="1" x14ac:dyDescent="0.35">
      <c r="B144" s="230"/>
      <c r="C144" s="423"/>
      <c r="D144" s="548" t="s">
        <v>1019</v>
      </c>
      <c r="E144" s="225"/>
      <c r="F144" s="268">
        <f>'PRECIO DEL METRAJE'!E148</f>
        <v>0</v>
      </c>
      <c r="G144" s="225" t="s">
        <v>414</v>
      </c>
      <c r="H144" s="272">
        <f>'PRECIO DEL METRAJE'!K148</f>
        <v>3600</v>
      </c>
      <c r="I144" s="272">
        <f t="shared" si="11"/>
        <v>0</v>
      </c>
      <c r="J144" s="270"/>
      <c r="K144" s="280"/>
      <c r="M144" s="62" t="str">
        <f t="shared" si="12"/>
        <v>OCULTAR</v>
      </c>
      <c r="N144" s="62"/>
      <c r="O144" s="62"/>
      <c r="P144" s="62"/>
      <c r="Q144" s="62"/>
      <c r="R144" s="62"/>
      <c r="S144" s="62"/>
    </row>
    <row r="145" spans="2:26" ht="48" hidden="1" customHeight="1" x14ac:dyDescent="0.35">
      <c r="B145" s="230"/>
      <c r="C145" s="423"/>
      <c r="D145" s="548"/>
      <c r="E145" s="225"/>
      <c r="F145" s="268"/>
      <c r="G145" s="225"/>
      <c r="H145" s="272"/>
      <c r="I145" s="272"/>
      <c r="J145" s="270"/>
      <c r="K145" s="280"/>
      <c r="M145" s="62" t="str">
        <f t="shared" si="12"/>
        <v>OCULTAR</v>
      </c>
      <c r="N145" s="62"/>
      <c r="O145" s="62"/>
      <c r="P145" s="62"/>
      <c r="Q145" s="62"/>
      <c r="R145" s="62"/>
      <c r="S145" s="62"/>
    </row>
    <row r="146" spans="2:26" ht="18" hidden="1" customHeight="1" x14ac:dyDescent="0.35">
      <c r="B146" s="250">
        <f>IF(K146&gt;0,B120+1,B120)</f>
        <v>2</v>
      </c>
      <c r="C146" s="261"/>
      <c r="D146" s="251" t="s">
        <v>139</v>
      </c>
      <c r="E146" s="261"/>
      <c r="F146" s="291">
        <f>IF(J146&gt;1,1,0)</f>
        <v>0</v>
      </c>
      <c r="G146" s="261"/>
      <c r="H146" s="275"/>
      <c r="I146" s="275"/>
      <c r="J146" s="275"/>
      <c r="K146" s="253">
        <f>SUM(I148:I158)</f>
        <v>0</v>
      </c>
      <c r="M146" s="62" t="str">
        <f>IF(K146&gt;0.1,"MOSTRAR","OCULTAR")</f>
        <v>OCULTAR</v>
      </c>
      <c r="N146" s="62"/>
      <c r="O146" s="62"/>
      <c r="P146" s="62"/>
      <c r="Q146" s="62"/>
      <c r="R146" s="62"/>
      <c r="S146" s="62"/>
    </row>
    <row r="147" spans="2:26" ht="18" hidden="1" customHeight="1" x14ac:dyDescent="0.35">
      <c r="B147" s="230">
        <f>IF(J147&gt;0,B146+0.1,B146)</f>
        <v>2</v>
      </c>
      <c r="C147" s="258"/>
      <c r="D147" s="278" t="s">
        <v>139</v>
      </c>
      <c r="E147" s="258"/>
      <c r="F147" s="285">
        <f>IF(J147&gt;1,1,0)</f>
        <v>0</v>
      </c>
      <c r="G147" s="258"/>
      <c r="H147" s="274"/>
      <c r="I147" s="274"/>
      <c r="J147" s="274">
        <f>SUM(I148:I152)</f>
        <v>0</v>
      </c>
      <c r="K147" s="488"/>
      <c r="M147" s="62" t="str">
        <f t="shared" ref="M147" si="13">IF(F147&gt;0.1,"MOSTRAR","OCULTAR")</f>
        <v>OCULTAR</v>
      </c>
      <c r="N147" s="62"/>
      <c r="O147" s="62"/>
      <c r="P147" s="62"/>
      <c r="Q147" s="62"/>
      <c r="R147" s="62"/>
      <c r="S147" s="62"/>
    </row>
    <row r="148" spans="2:26" ht="105.75" hidden="1" customHeight="1" x14ac:dyDescent="0.35">
      <c r="B148" s="230"/>
      <c r="C148" s="423"/>
      <c r="D148" s="229" t="s">
        <v>553</v>
      </c>
      <c r="E148" s="225"/>
      <c r="F148" s="268">
        <f>'PRECIO DEL METRAJE'!E151</f>
        <v>0</v>
      </c>
      <c r="G148" s="225" t="s">
        <v>414</v>
      </c>
      <c r="H148" s="272">
        <f>'PRECIO DEL METRAJE'!K151</f>
        <v>5907.7000000000007</v>
      </c>
      <c r="I148" s="272">
        <f>H148*F148</f>
        <v>0</v>
      </c>
      <c r="J148" s="270"/>
      <c r="K148" s="280"/>
      <c r="M148" s="62" t="str">
        <f t="shared" si="12"/>
        <v>OCULTAR</v>
      </c>
      <c r="N148" s="62"/>
      <c r="O148" s="62"/>
      <c r="P148" s="62"/>
      <c r="Q148" s="62"/>
      <c r="R148" s="62"/>
      <c r="S148" s="62"/>
    </row>
    <row r="149" spans="2:26" ht="105.75" hidden="1" customHeight="1" x14ac:dyDescent="0.35">
      <c r="B149" s="230"/>
      <c r="C149" s="423"/>
      <c r="D149" s="229" t="s">
        <v>554</v>
      </c>
      <c r="E149" s="225"/>
      <c r="F149" s="268">
        <f>'PRECIO DEL METRAJE'!E152</f>
        <v>0</v>
      </c>
      <c r="G149" s="225" t="s">
        <v>414</v>
      </c>
      <c r="H149" s="272">
        <f>'PRECIO DEL METRAJE'!K152</f>
        <v>6012.4000000000005</v>
      </c>
      <c r="I149" s="272">
        <f>H149*F149</f>
        <v>0</v>
      </c>
      <c r="J149" s="270"/>
      <c r="K149" s="280"/>
      <c r="M149" s="62" t="str">
        <f t="shared" si="12"/>
        <v>OCULTAR</v>
      </c>
      <c r="N149" s="62"/>
      <c r="O149" s="62"/>
      <c r="P149" s="62"/>
      <c r="Q149" s="62"/>
      <c r="R149" s="62"/>
      <c r="S149" s="62"/>
    </row>
    <row r="150" spans="2:26" ht="105.75" hidden="1" customHeight="1" x14ac:dyDescent="0.35">
      <c r="B150" s="230"/>
      <c r="C150" s="423"/>
      <c r="D150" s="229" t="s">
        <v>555</v>
      </c>
      <c r="E150" s="225"/>
      <c r="F150" s="268">
        <f>'PRECIO DEL METRAJE'!E153</f>
        <v>0</v>
      </c>
      <c r="G150" s="225" t="s">
        <v>414</v>
      </c>
      <c r="H150" s="272">
        <f>'PRECIO DEL METRAJE'!K153</f>
        <v>6264.7000000000007</v>
      </c>
      <c r="I150" s="272">
        <f>H150*F150</f>
        <v>0</v>
      </c>
      <c r="J150" s="270"/>
      <c r="K150" s="280"/>
      <c r="M150" s="62" t="str">
        <f t="shared" si="12"/>
        <v>OCULTAR</v>
      </c>
      <c r="N150" s="62"/>
      <c r="O150" s="62"/>
      <c r="P150" s="62"/>
      <c r="Q150" s="62"/>
      <c r="R150" s="62"/>
      <c r="S150" s="62"/>
    </row>
    <row r="151" spans="2:26" ht="105.75" hidden="1" customHeight="1" x14ac:dyDescent="0.35">
      <c r="B151" s="230"/>
      <c r="C151" s="423"/>
      <c r="D151" s="229" t="s">
        <v>556</v>
      </c>
      <c r="E151" s="225"/>
      <c r="F151" s="268">
        <f>'PRECIO DEL METRAJE'!E154</f>
        <v>0</v>
      </c>
      <c r="G151" s="225" t="s">
        <v>414</v>
      </c>
      <c r="H151" s="272">
        <f>'PRECIO DEL METRAJE'!K154</f>
        <v>6386.2000000000007</v>
      </c>
      <c r="I151" s="272">
        <f>H151*F151</f>
        <v>0</v>
      </c>
      <c r="J151" s="270"/>
      <c r="K151" s="280"/>
      <c r="M151" s="62" t="str">
        <f t="shared" si="12"/>
        <v>OCULTAR</v>
      </c>
      <c r="N151" s="62"/>
      <c r="O151" s="62"/>
      <c r="P151" s="62"/>
      <c r="Q151" s="62"/>
      <c r="R151" s="62"/>
      <c r="S151" s="62"/>
    </row>
    <row r="152" spans="2:26" ht="18" hidden="1" customHeight="1" x14ac:dyDescent="0.35">
      <c r="B152" s="230"/>
      <c r="C152" s="423"/>
      <c r="D152" s="229"/>
      <c r="E152" s="225"/>
      <c r="F152" s="268"/>
      <c r="G152" s="225"/>
      <c r="H152" s="272"/>
      <c r="I152" s="272"/>
      <c r="J152" s="270"/>
      <c r="K152" s="280"/>
      <c r="M152" s="62" t="str">
        <f t="shared" si="12"/>
        <v>OCULTAR</v>
      </c>
      <c r="N152" s="62"/>
      <c r="O152" s="62"/>
      <c r="P152" s="62"/>
      <c r="Q152" s="62"/>
      <c r="R152" s="62"/>
      <c r="S152" s="62"/>
    </row>
    <row r="153" spans="2:26" ht="18" hidden="1" customHeight="1" x14ac:dyDescent="0.35">
      <c r="B153" s="230">
        <f>IF(J153&gt;0,B147+0.1,B147)</f>
        <v>2</v>
      </c>
      <c r="C153" s="424"/>
      <c r="D153" s="262" t="s">
        <v>148</v>
      </c>
      <c r="E153" s="286"/>
      <c r="F153" s="294">
        <f>IF(J153&gt;1,1,0)</f>
        <v>0</v>
      </c>
      <c r="G153" s="259"/>
      <c r="H153" s="277"/>
      <c r="I153" s="277"/>
      <c r="J153" s="277">
        <f>SUM(I154:I158)</f>
        <v>0</v>
      </c>
      <c r="K153" s="280"/>
      <c r="M153" s="62" t="str">
        <f>IF(J153&gt;0.1,"MOSTRAR","OCULTAR")</f>
        <v>OCULTAR</v>
      </c>
      <c r="N153" s="62"/>
      <c r="O153" s="62"/>
      <c r="P153" s="62"/>
      <c r="Q153" s="62"/>
      <c r="R153" s="62"/>
      <c r="S153" s="62"/>
      <c r="Z153" s="55">
        <f>+AA152</f>
        <v>0</v>
      </c>
    </row>
    <row r="154" spans="2:26" ht="20.25" hidden="1" customHeight="1" x14ac:dyDescent="0.35">
      <c r="B154" s="230"/>
      <c r="C154" s="423"/>
      <c r="D154" s="229" t="s">
        <v>557</v>
      </c>
      <c r="E154" s="225"/>
      <c r="F154" s="268">
        <f>'PRECIO DEL METRAJE'!E157</f>
        <v>0</v>
      </c>
      <c r="G154" s="225" t="s">
        <v>414</v>
      </c>
      <c r="H154" s="272">
        <f>'PRECIO DEL METRAJE'!K157</f>
        <v>0</v>
      </c>
      <c r="I154" s="272">
        <f>H154*F154</f>
        <v>0</v>
      </c>
      <c r="J154" s="270"/>
      <c r="K154" s="280"/>
      <c r="M154" s="62" t="str">
        <f t="shared" si="12"/>
        <v>OCULTAR</v>
      </c>
      <c r="N154" s="62"/>
      <c r="O154" s="62"/>
      <c r="P154" s="62"/>
      <c r="Q154" s="62"/>
      <c r="R154" s="62"/>
      <c r="S154" s="62"/>
    </row>
    <row r="155" spans="2:26" ht="18" hidden="1" customHeight="1" x14ac:dyDescent="0.35">
      <c r="B155" s="230"/>
      <c r="C155" s="423"/>
      <c r="D155" s="229" t="s">
        <v>558</v>
      </c>
      <c r="E155" s="225"/>
      <c r="F155" s="268">
        <f>'PRECIO DEL METRAJE'!E158</f>
        <v>0</v>
      </c>
      <c r="G155" s="225" t="s">
        <v>414</v>
      </c>
      <c r="H155" s="272">
        <f>'PRECIO DEL METRAJE'!K158</f>
        <v>0</v>
      </c>
      <c r="I155" s="272">
        <f>H155*F155</f>
        <v>0</v>
      </c>
      <c r="J155" s="270"/>
      <c r="K155" s="280"/>
      <c r="M155" s="62" t="str">
        <f t="shared" si="12"/>
        <v>OCULTAR</v>
      </c>
      <c r="N155" s="62"/>
      <c r="O155" s="62"/>
      <c r="P155" s="62"/>
      <c r="Q155" s="62"/>
      <c r="R155" s="62"/>
      <c r="S155" s="62"/>
    </row>
    <row r="156" spans="2:26" s="229" customFormat="1" ht="14.5" hidden="1" x14ac:dyDescent="0.3">
      <c r="B156" s="231"/>
      <c r="C156" s="423"/>
      <c r="D156" s="229" t="s">
        <v>559</v>
      </c>
      <c r="E156" s="225"/>
      <c r="F156" s="268">
        <f>'PRECIO DEL METRAJE'!E159</f>
        <v>0</v>
      </c>
      <c r="G156" s="225" t="s">
        <v>414</v>
      </c>
      <c r="H156" s="272">
        <f>'PRECIO DEL METRAJE'!K159</f>
        <v>353.90000000000003</v>
      </c>
      <c r="I156" s="272">
        <f>H156*F156</f>
        <v>0</v>
      </c>
      <c r="J156" s="270"/>
      <c r="K156" s="280"/>
      <c r="L156" s="224"/>
      <c r="M156" s="225" t="str">
        <f t="shared" si="12"/>
        <v>OCULTAR</v>
      </c>
      <c r="N156" s="225"/>
      <c r="O156" s="225"/>
      <c r="P156" s="225"/>
      <c r="Q156" s="225"/>
      <c r="R156" s="225"/>
      <c r="S156" s="225"/>
      <c r="T156" s="225"/>
      <c r="U156" s="225"/>
    </row>
    <row r="157" spans="2:26" ht="18" hidden="1" customHeight="1" x14ac:dyDescent="0.35">
      <c r="B157" s="230"/>
      <c r="C157" s="423"/>
      <c r="D157" s="229" t="s">
        <v>152</v>
      </c>
      <c r="E157" s="225"/>
      <c r="F157" s="268">
        <f>'PRECIO DEL METRAJE'!E160</f>
        <v>0</v>
      </c>
      <c r="G157" s="225" t="s">
        <v>414</v>
      </c>
      <c r="H157" s="272">
        <f>'PRECIO DEL METRAJE'!K160</f>
        <v>995.4</v>
      </c>
      <c r="I157" s="272">
        <f>H157*F157</f>
        <v>0</v>
      </c>
      <c r="J157" s="270"/>
      <c r="K157" s="280"/>
      <c r="M157" s="62" t="str">
        <f t="shared" si="12"/>
        <v>OCULTAR</v>
      </c>
      <c r="N157" s="62"/>
      <c r="O157" s="62"/>
      <c r="P157" s="62"/>
      <c r="Q157" s="62"/>
      <c r="R157" s="62"/>
      <c r="S157" s="62"/>
    </row>
    <row r="158" spans="2:26" ht="13.5" hidden="1" customHeight="1" x14ac:dyDescent="0.35">
      <c r="B158" s="230"/>
      <c r="C158" s="423"/>
      <c r="D158" s="229"/>
      <c r="E158" s="225"/>
      <c r="F158" s="499">
        <f>IF(K171&gt;1,1,0)</f>
        <v>0</v>
      </c>
      <c r="G158" s="257"/>
      <c r="H158" s="272"/>
      <c r="I158" s="272"/>
      <c r="J158" s="270"/>
      <c r="K158" s="280"/>
      <c r="M158" s="62" t="str">
        <f t="shared" si="12"/>
        <v>OCULTAR</v>
      </c>
      <c r="N158" s="62"/>
      <c r="O158" s="62"/>
      <c r="P158" s="62"/>
      <c r="Q158" s="62"/>
      <c r="R158" s="62"/>
      <c r="S158" s="62"/>
    </row>
    <row r="159" spans="2:26" ht="18" hidden="1" customHeight="1" x14ac:dyDescent="0.35">
      <c r="B159" s="250">
        <f>IF(K159&gt;0,B146+1,B146)</f>
        <v>2</v>
      </c>
      <c r="C159" s="261"/>
      <c r="D159" s="251" t="s">
        <v>153</v>
      </c>
      <c r="E159" s="261"/>
      <c r="F159" s="291">
        <f>IF(K159&gt;1,1,0)</f>
        <v>0</v>
      </c>
      <c r="G159" s="261"/>
      <c r="H159" s="275"/>
      <c r="I159" s="275"/>
      <c r="J159" s="292"/>
      <c r="K159" s="253">
        <f>SUM(I160:I170)</f>
        <v>0</v>
      </c>
      <c r="M159" s="62" t="str">
        <f>IF(K159&gt;0.1,"MOSTRAR","OCULTAR")</f>
        <v>OCULTAR</v>
      </c>
      <c r="N159" s="62"/>
      <c r="O159" s="62"/>
      <c r="P159" s="62"/>
      <c r="Q159" s="62"/>
      <c r="R159" s="62"/>
      <c r="S159" s="62"/>
    </row>
    <row r="160" spans="2:26" ht="13.5" hidden="1" customHeight="1" x14ac:dyDescent="0.35">
      <c r="B160" s="230"/>
      <c r="C160" s="423"/>
      <c r="D160" s="229"/>
      <c r="E160" s="225"/>
      <c r="F160" s="225"/>
      <c r="G160" s="225"/>
      <c r="H160" s="272"/>
      <c r="I160" s="272"/>
      <c r="J160" s="270"/>
      <c r="K160" s="280"/>
      <c r="M160" s="62" t="str">
        <f t="shared" si="12"/>
        <v>OCULTAR</v>
      </c>
      <c r="N160" s="62"/>
      <c r="O160" s="62"/>
      <c r="P160" s="62"/>
      <c r="Q160" s="62"/>
      <c r="R160" s="62"/>
      <c r="S160" s="62"/>
    </row>
    <row r="161" spans="2:23" ht="165.75" hidden="1" customHeight="1" x14ac:dyDescent="0.35">
      <c r="B161" s="230"/>
      <c r="C161" s="423"/>
      <c r="D161" s="229" t="s">
        <v>753</v>
      </c>
      <c r="E161" s="225"/>
      <c r="F161" s="268">
        <f>'PRECIO DEL METRAJE'!E163</f>
        <v>0</v>
      </c>
      <c r="G161" s="225" t="s">
        <v>414</v>
      </c>
      <c r="H161" s="272">
        <f>'PRECIO DEL METRAJE'!K163</f>
        <v>4464.7000000000007</v>
      </c>
      <c r="I161" s="272">
        <f>H161*F161</f>
        <v>0</v>
      </c>
      <c r="J161" s="270"/>
      <c r="K161" s="280"/>
      <c r="M161" s="62" t="str">
        <f t="shared" si="12"/>
        <v>OCULTAR</v>
      </c>
      <c r="N161" s="62"/>
      <c r="O161" s="62"/>
      <c r="P161" s="62"/>
      <c r="Q161" s="62"/>
      <c r="R161" s="62"/>
      <c r="S161" s="62"/>
    </row>
    <row r="162" spans="2:23" ht="138.75" hidden="1" customHeight="1" x14ac:dyDescent="0.35">
      <c r="B162" s="230"/>
      <c r="C162" s="423"/>
      <c r="D162" s="229" t="s">
        <v>752</v>
      </c>
      <c r="E162" s="225"/>
      <c r="F162" s="268">
        <f>'PRECIO DEL METRAJE'!E164</f>
        <v>0</v>
      </c>
      <c r="G162" s="225" t="s">
        <v>414</v>
      </c>
      <c r="H162" s="272">
        <f>'PRECIO DEL METRAJE'!K164</f>
        <v>5675.4000000000005</v>
      </c>
      <c r="I162" s="272">
        <f t="shared" ref="I162:I164" si="14">H162*F162</f>
        <v>0</v>
      </c>
      <c r="J162" s="270"/>
      <c r="K162" s="280"/>
      <c r="M162" s="62" t="str">
        <f t="shared" si="12"/>
        <v>OCULTAR</v>
      </c>
      <c r="N162" s="62"/>
      <c r="O162" s="62"/>
      <c r="P162" s="62"/>
      <c r="Q162" s="62"/>
      <c r="R162" s="62"/>
      <c r="S162" s="62"/>
    </row>
    <row r="163" spans="2:23" ht="139.5" hidden="1" customHeight="1" x14ac:dyDescent="0.35">
      <c r="B163" s="230"/>
      <c r="C163" s="423"/>
      <c r="D163" s="229" t="s">
        <v>560</v>
      </c>
      <c r="E163" s="225"/>
      <c r="F163" s="268">
        <f>'PRECIO DEL METRAJE'!E165</f>
        <v>0</v>
      </c>
      <c r="G163" s="225" t="s">
        <v>414</v>
      </c>
      <c r="H163" s="272">
        <f>'PRECIO DEL METRAJE'!K165</f>
        <v>5804</v>
      </c>
      <c r="I163" s="272">
        <f t="shared" si="14"/>
        <v>0</v>
      </c>
      <c r="J163" s="270"/>
      <c r="K163" s="280"/>
      <c r="M163" s="62" t="str">
        <f t="shared" si="12"/>
        <v>OCULTAR</v>
      </c>
      <c r="N163" s="62"/>
      <c r="O163" s="62"/>
      <c r="P163" s="62"/>
      <c r="Q163" s="62"/>
      <c r="R163" s="62"/>
      <c r="S163" s="62"/>
    </row>
    <row r="164" spans="2:23" ht="135.75" hidden="1" customHeight="1" x14ac:dyDescent="0.35">
      <c r="B164" s="230"/>
      <c r="C164" s="423"/>
      <c r="D164" s="229" t="s">
        <v>561</v>
      </c>
      <c r="E164" s="225"/>
      <c r="F164" s="268">
        <f>'PRECIO DEL METRAJE'!E166</f>
        <v>0</v>
      </c>
      <c r="G164" s="225" t="s">
        <v>414</v>
      </c>
      <c r="H164" s="272">
        <f>'PRECIO DEL METRAJE'!K166</f>
        <v>6240</v>
      </c>
      <c r="I164" s="272">
        <f t="shared" si="14"/>
        <v>0</v>
      </c>
      <c r="J164" s="270"/>
      <c r="K164" s="280"/>
      <c r="M164" s="62" t="str">
        <f t="shared" si="12"/>
        <v>OCULTAR</v>
      </c>
      <c r="N164" s="62"/>
      <c r="O164" s="62"/>
      <c r="P164" s="62"/>
      <c r="Q164" s="62"/>
      <c r="R164" s="62"/>
      <c r="S164" s="62"/>
    </row>
    <row r="165" spans="2:23" ht="14.25" hidden="1" customHeight="1" x14ac:dyDescent="0.35">
      <c r="B165" s="230"/>
      <c r="C165" s="423"/>
      <c r="D165" s="229"/>
      <c r="E165" s="225"/>
      <c r="F165" s="268"/>
      <c r="G165" s="225"/>
      <c r="H165" s="272"/>
      <c r="I165" s="272"/>
      <c r="J165" s="270"/>
      <c r="K165" s="280"/>
      <c r="M165" s="62" t="str">
        <f t="shared" si="12"/>
        <v>OCULTAR</v>
      </c>
      <c r="N165" s="62"/>
      <c r="O165" s="62"/>
      <c r="P165" s="62"/>
      <c r="Q165" s="62"/>
      <c r="R165" s="62"/>
      <c r="S165" s="62"/>
    </row>
    <row r="166" spans="2:23" ht="15" hidden="1" customHeight="1" x14ac:dyDescent="0.35">
      <c r="B166" s="230"/>
      <c r="C166" s="424"/>
      <c r="D166" s="262" t="s">
        <v>158</v>
      </c>
      <c r="E166" s="286"/>
      <c r="F166" s="294">
        <f>IF(J166&gt;1,1,0)</f>
        <v>0</v>
      </c>
      <c r="G166" s="259"/>
      <c r="H166" s="277"/>
      <c r="I166" s="277"/>
      <c r="J166" s="277">
        <f>SUM(I167:I170)</f>
        <v>0</v>
      </c>
      <c r="K166" s="280"/>
      <c r="M166" s="62" t="str">
        <f>IF(J166&gt;0.1,"MOSTRAR","OCULTAR")</f>
        <v>OCULTAR</v>
      </c>
      <c r="N166" s="62"/>
      <c r="O166" s="62"/>
      <c r="P166" s="62"/>
      <c r="Q166" s="62"/>
      <c r="R166" s="62"/>
      <c r="S166" s="62"/>
    </row>
    <row r="167" spans="2:23" ht="18.75" hidden="1" customHeight="1" x14ac:dyDescent="0.35">
      <c r="B167" s="230"/>
      <c r="C167" s="423"/>
      <c r="D167" s="55" t="s">
        <v>562</v>
      </c>
      <c r="E167" s="225"/>
      <c r="F167" s="268">
        <f>'PRECIO DEL METRAJE'!E169</f>
        <v>0</v>
      </c>
      <c r="G167" s="225" t="s">
        <v>414</v>
      </c>
      <c r="H167" s="272">
        <f>'PRECIO DEL METRAJE'!K169</f>
        <v>0</v>
      </c>
      <c r="I167" s="272">
        <f>H167*F167</f>
        <v>0</v>
      </c>
      <c r="J167" s="270"/>
      <c r="K167" s="280"/>
      <c r="M167" s="62" t="str">
        <f t="shared" si="12"/>
        <v>OCULTAR</v>
      </c>
      <c r="N167" s="62"/>
      <c r="O167" s="62"/>
      <c r="P167" s="62"/>
      <c r="Q167" s="62"/>
      <c r="R167" s="62"/>
      <c r="S167" s="62"/>
    </row>
    <row r="168" spans="2:23" ht="18" hidden="1" customHeight="1" x14ac:dyDescent="0.35">
      <c r="B168" s="230"/>
      <c r="C168" s="423"/>
      <c r="D168" s="55" t="s">
        <v>563</v>
      </c>
      <c r="E168" s="225"/>
      <c r="F168" s="268">
        <f>'PRECIO DEL METRAJE'!E170</f>
        <v>0</v>
      </c>
      <c r="G168" s="225" t="s">
        <v>414</v>
      </c>
      <c r="H168" s="272">
        <f>'PRECIO DEL METRAJE'!K170</f>
        <v>0</v>
      </c>
      <c r="I168" s="272">
        <f>H168*F168</f>
        <v>0</v>
      </c>
      <c r="J168" s="270"/>
      <c r="K168" s="280"/>
      <c r="M168" s="62" t="str">
        <f t="shared" si="12"/>
        <v>OCULTAR</v>
      </c>
      <c r="N168" s="62"/>
      <c r="O168" s="62"/>
      <c r="P168" s="62"/>
      <c r="Q168" s="62"/>
      <c r="R168" s="62"/>
      <c r="S168" s="62"/>
    </row>
    <row r="169" spans="2:23" s="229" customFormat="1" ht="15" hidden="1" customHeight="1" x14ac:dyDescent="0.3">
      <c r="B169" s="231"/>
      <c r="C169" s="422"/>
      <c r="D169" s="229" t="s">
        <v>564</v>
      </c>
      <c r="E169" s="225"/>
      <c r="F169" s="268">
        <f>'PRECIO DEL METRAJE'!E171</f>
        <v>0</v>
      </c>
      <c r="G169" s="225" t="s">
        <v>414</v>
      </c>
      <c r="H169" s="272">
        <f>'PRECIO DEL METRAJE'!K171</f>
        <v>0</v>
      </c>
      <c r="I169" s="272">
        <f>H169*F169</f>
        <v>0</v>
      </c>
      <c r="J169" s="270"/>
      <c r="K169" s="280"/>
      <c r="L169" s="224"/>
      <c r="M169" s="225" t="str">
        <f t="shared" si="12"/>
        <v>OCULTAR</v>
      </c>
      <c r="N169" s="225"/>
      <c r="O169" s="225"/>
      <c r="P169" s="225"/>
      <c r="Q169" s="225"/>
      <c r="R169" s="225"/>
      <c r="S169" s="225"/>
      <c r="T169" s="225"/>
      <c r="U169" s="225"/>
    </row>
    <row r="170" spans="2:23" ht="15" hidden="1" customHeight="1" x14ac:dyDescent="0.35">
      <c r="B170" s="230"/>
      <c r="C170" s="423"/>
      <c r="D170" s="229"/>
      <c r="E170" s="225"/>
      <c r="F170" s="268"/>
      <c r="G170" s="257"/>
      <c r="H170" s="272"/>
      <c r="I170" s="272"/>
      <c r="J170" s="270"/>
      <c r="K170" s="280"/>
      <c r="M170" s="62" t="str">
        <f t="shared" si="12"/>
        <v>OCULTAR</v>
      </c>
      <c r="N170" s="62"/>
      <c r="O170" s="62"/>
      <c r="P170" s="62"/>
      <c r="Q170" s="62"/>
      <c r="R170" s="62"/>
      <c r="S170" s="62"/>
    </row>
    <row r="171" spans="2:23" ht="18" hidden="1" customHeight="1" x14ac:dyDescent="0.35">
      <c r="B171" s="250">
        <f>IF(K171&gt;0,B159+1,B159)</f>
        <v>2</v>
      </c>
      <c r="C171" s="425"/>
      <c r="D171" s="251" t="s">
        <v>565</v>
      </c>
      <c r="E171" s="261"/>
      <c r="F171" s="291">
        <f>IF(K171&gt;1,1,0)</f>
        <v>0</v>
      </c>
      <c r="G171" s="261"/>
      <c r="H171" s="275"/>
      <c r="I171" s="275"/>
      <c r="J171" s="301">
        <f>K171</f>
        <v>0</v>
      </c>
      <c r="K171" s="253">
        <f>SUM(I172:I186)</f>
        <v>0</v>
      </c>
      <c r="M171" s="62" t="str">
        <f>IF(K171&gt;0.1,"MOSTRAR","OCULTAR")</f>
        <v>OCULTAR</v>
      </c>
      <c r="N171" s="62"/>
      <c r="O171" s="62"/>
      <c r="P171" s="62"/>
      <c r="Q171" s="62"/>
      <c r="R171" s="62"/>
      <c r="S171" s="62"/>
    </row>
    <row r="172" spans="2:23" ht="92.25" hidden="1" customHeight="1" x14ac:dyDescent="0.35">
      <c r="B172" s="230"/>
      <c r="C172" s="426"/>
      <c r="D172" s="235" t="s">
        <v>566</v>
      </c>
      <c r="E172" s="225"/>
      <c r="F172" s="268">
        <f>'PRECIO DEL METRAJE'!E174</f>
        <v>0</v>
      </c>
      <c r="G172" s="225" t="s">
        <v>414</v>
      </c>
      <c r="H172" s="272">
        <f>'PRECIO DEL METRAJE'!K174</f>
        <v>94</v>
      </c>
      <c r="I172" s="272">
        <f t="shared" ref="I172:I185" si="15">H172*F172</f>
        <v>0</v>
      </c>
      <c r="J172" s="270"/>
      <c r="K172" s="280"/>
      <c r="M172" s="62" t="str">
        <f t="shared" si="12"/>
        <v>OCULTAR</v>
      </c>
      <c r="N172" s="62"/>
      <c r="O172" s="62"/>
      <c r="P172" s="62"/>
      <c r="Q172" s="62"/>
      <c r="R172" s="62"/>
      <c r="S172" s="62"/>
    </row>
    <row r="173" spans="2:23" ht="92.25" hidden="1" customHeight="1" x14ac:dyDescent="0.35">
      <c r="B173" s="230"/>
      <c r="C173" s="426"/>
      <c r="D173" s="235" t="s">
        <v>567</v>
      </c>
      <c r="E173" s="225"/>
      <c r="F173" s="268">
        <f>'PRECIO DEL METRAJE'!E175</f>
        <v>0</v>
      </c>
      <c r="G173" s="225" t="s">
        <v>414</v>
      </c>
      <c r="H173" s="272">
        <f>'PRECIO DEL METRAJE'!K175</f>
        <v>144</v>
      </c>
      <c r="I173" s="272">
        <f t="shared" si="15"/>
        <v>0</v>
      </c>
      <c r="J173" s="270"/>
      <c r="K173" s="280"/>
      <c r="M173" s="62" t="str">
        <f t="shared" si="12"/>
        <v>OCULTAR</v>
      </c>
      <c r="N173" s="62"/>
      <c r="O173" s="62"/>
      <c r="P173" s="62"/>
      <c r="Q173" s="62"/>
      <c r="R173" s="62"/>
      <c r="S173" s="62"/>
    </row>
    <row r="174" spans="2:23" ht="92.25" hidden="1" customHeight="1" x14ac:dyDescent="0.35">
      <c r="B174" s="230"/>
      <c r="C174" s="426"/>
      <c r="D174" s="235" t="s">
        <v>568</v>
      </c>
      <c r="E174" s="225"/>
      <c r="F174" s="268">
        <f>'PRECIO DEL METRAJE'!E176</f>
        <v>0</v>
      </c>
      <c r="G174" s="225" t="s">
        <v>414</v>
      </c>
      <c r="H174" s="272">
        <f>'PRECIO DEL METRAJE'!K176</f>
        <v>218</v>
      </c>
      <c r="I174" s="272">
        <f t="shared" si="15"/>
        <v>0</v>
      </c>
      <c r="J174" s="270"/>
      <c r="K174" s="280"/>
      <c r="M174" s="62" t="str">
        <f t="shared" si="12"/>
        <v>OCULTAR</v>
      </c>
      <c r="N174" s="62"/>
      <c r="O174" s="62"/>
      <c r="P174" s="62"/>
      <c r="Q174" s="62"/>
      <c r="R174" s="62"/>
      <c r="S174" s="62"/>
    </row>
    <row r="175" spans="2:23" ht="75.75" hidden="1" customHeight="1" x14ac:dyDescent="0.35">
      <c r="B175" s="230"/>
      <c r="C175" s="423"/>
      <c r="D175" s="235" t="s">
        <v>569</v>
      </c>
      <c r="E175" s="225"/>
      <c r="F175" s="268">
        <f>'PRECIO DEL METRAJE'!E177</f>
        <v>0</v>
      </c>
      <c r="G175" s="225" t="s">
        <v>414</v>
      </c>
      <c r="H175" s="272">
        <f>'PRECIO DEL METRAJE'!K177</f>
        <v>271.60000000000002</v>
      </c>
      <c r="I175" s="272">
        <f t="shared" si="15"/>
        <v>0</v>
      </c>
      <c r="J175" s="270"/>
      <c r="K175" s="280"/>
      <c r="M175" s="62" t="str">
        <f t="shared" si="12"/>
        <v>OCULTAR</v>
      </c>
      <c r="N175" s="62"/>
      <c r="O175" s="62"/>
      <c r="P175" s="62"/>
      <c r="Q175" s="62"/>
      <c r="R175" s="62"/>
      <c r="S175" s="62"/>
    </row>
    <row r="176" spans="2:23" ht="75.75" hidden="1" customHeight="1" x14ac:dyDescent="0.35">
      <c r="B176" s="230"/>
      <c r="C176" s="423"/>
      <c r="D176" s="235" t="s">
        <v>570</v>
      </c>
      <c r="E176" s="225"/>
      <c r="F176" s="268">
        <f>'PRECIO DEL METRAJE'!E178</f>
        <v>0</v>
      </c>
      <c r="G176" s="225" t="s">
        <v>414</v>
      </c>
      <c r="H176" s="272">
        <f>'PRECIO DEL METRAJE'!K178</f>
        <v>430.8</v>
      </c>
      <c r="I176" s="272">
        <f t="shared" si="15"/>
        <v>0</v>
      </c>
      <c r="J176" s="270"/>
      <c r="K176" s="280"/>
      <c r="M176" s="62" t="str">
        <f t="shared" si="12"/>
        <v>OCULTAR</v>
      </c>
      <c r="N176" s="62"/>
      <c r="O176" s="62"/>
      <c r="P176" s="62"/>
      <c r="Q176" s="62"/>
      <c r="R176" s="62"/>
      <c r="S176" s="62"/>
    </row>
    <row r="177" spans="2:19" ht="75.75" hidden="1" customHeight="1" x14ac:dyDescent="0.35">
      <c r="B177" s="230"/>
      <c r="C177" s="423"/>
      <c r="D177" s="235" t="s">
        <v>571</v>
      </c>
      <c r="E177" s="225"/>
      <c r="F177" s="268">
        <f>'PRECIO DEL METRAJE'!E179</f>
        <v>0</v>
      </c>
      <c r="G177" s="225" t="s">
        <v>414</v>
      </c>
      <c r="H177" s="272">
        <f>'PRECIO DEL METRAJE'!K179</f>
        <v>461.6</v>
      </c>
      <c r="I177" s="272">
        <f t="shared" si="15"/>
        <v>0</v>
      </c>
      <c r="J177" s="270"/>
      <c r="K177" s="280"/>
      <c r="M177" s="62" t="str">
        <f t="shared" si="12"/>
        <v>OCULTAR</v>
      </c>
      <c r="N177" s="62"/>
      <c r="O177" s="62"/>
      <c r="P177" s="62"/>
      <c r="Q177" s="62"/>
      <c r="R177" s="62"/>
      <c r="S177" s="62"/>
    </row>
    <row r="178" spans="2:19" ht="50.25" hidden="1" customHeight="1" x14ac:dyDescent="0.35">
      <c r="B178" s="230"/>
      <c r="C178" s="423"/>
      <c r="D178" s="235" t="s">
        <v>572</v>
      </c>
      <c r="E178" s="225"/>
      <c r="F178" s="268">
        <f>'PRECIO DEL METRAJE'!E180</f>
        <v>0</v>
      </c>
      <c r="G178" s="225" t="s">
        <v>414</v>
      </c>
      <c r="H178" s="272">
        <f>'PRECIO DEL METRAJE'!K180</f>
        <v>0</v>
      </c>
      <c r="I178" s="272">
        <f t="shared" si="15"/>
        <v>0</v>
      </c>
      <c r="J178" s="270"/>
      <c r="K178" s="280"/>
      <c r="M178" s="62" t="str">
        <f t="shared" si="12"/>
        <v>OCULTAR</v>
      </c>
      <c r="N178" s="62"/>
      <c r="O178" s="62"/>
      <c r="P178" s="62"/>
      <c r="Q178" s="62"/>
      <c r="R178" s="62"/>
      <c r="S178" s="62"/>
    </row>
    <row r="179" spans="2:19" ht="29.25" hidden="1" customHeight="1" x14ac:dyDescent="0.35">
      <c r="B179" s="230"/>
      <c r="C179" s="640"/>
      <c r="D179" s="235" t="s">
        <v>572</v>
      </c>
      <c r="E179" s="225"/>
      <c r="F179" s="268">
        <f>'PRECIO DEL METRAJE'!E181</f>
        <v>0</v>
      </c>
      <c r="G179" s="225" t="s">
        <v>414</v>
      </c>
      <c r="H179" s="272">
        <f>'PRECIO DEL METRAJE'!K181</f>
        <v>0</v>
      </c>
      <c r="I179" s="272">
        <f t="shared" si="15"/>
        <v>0</v>
      </c>
      <c r="J179" s="270"/>
      <c r="K179" s="280"/>
      <c r="M179" s="62" t="str">
        <f t="shared" si="12"/>
        <v>OCULTAR</v>
      </c>
      <c r="N179" s="62"/>
      <c r="O179" s="62"/>
      <c r="P179" s="62"/>
      <c r="Q179" s="62"/>
      <c r="R179" s="62"/>
      <c r="S179" s="62"/>
    </row>
    <row r="180" spans="2:19" ht="30" hidden="1" customHeight="1" x14ac:dyDescent="0.35">
      <c r="B180" s="230"/>
      <c r="C180" s="640"/>
      <c r="D180" s="235" t="s">
        <v>572</v>
      </c>
      <c r="E180" s="225"/>
      <c r="F180" s="268">
        <f>'PRECIO DEL METRAJE'!E182</f>
        <v>0</v>
      </c>
      <c r="G180" s="225" t="s">
        <v>414</v>
      </c>
      <c r="H180" s="272">
        <f>'PRECIO DEL METRAJE'!K182</f>
        <v>0</v>
      </c>
      <c r="I180" s="272">
        <f t="shared" si="15"/>
        <v>0</v>
      </c>
      <c r="J180" s="270"/>
      <c r="K180" s="280"/>
      <c r="M180" s="62" t="str">
        <f t="shared" si="12"/>
        <v>OCULTAR</v>
      </c>
      <c r="N180" s="62"/>
      <c r="O180" s="62"/>
      <c r="P180" s="62"/>
      <c r="Q180" s="62"/>
      <c r="R180" s="62"/>
      <c r="S180" s="62"/>
    </row>
    <row r="181" spans="2:19" ht="30" hidden="1" customHeight="1" x14ac:dyDescent="0.35">
      <c r="B181" s="230"/>
      <c r="C181" s="640"/>
      <c r="D181" s="235" t="s">
        <v>572</v>
      </c>
      <c r="E181" s="225"/>
      <c r="F181" s="268">
        <f>'PRECIO DEL METRAJE'!E183</f>
        <v>0</v>
      </c>
      <c r="G181" s="225" t="s">
        <v>414</v>
      </c>
      <c r="H181" s="272">
        <f>'PRECIO DEL METRAJE'!K183</f>
        <v>0</v>
      </c>
      <c r="I181" s="272">
        <f t="shared" si="15"/>
        <v>0</v>
      </c>
      <c r="J181" s="270"/>
      <c r="K181" s="280"/>
      <c r="M181" s="62" t="str">
        <f t="shared" si="12"/>
        <v>OCULTAR</v>
      </c>
      <c r="N181" s="62"/>
      <c r="O181" s="62"/>
      <c r="P181" s="62"/>
      <c r="Q181" s="62"/>
      <c r="R181" s="62"/>
      <c r="S181" s="62"/>
    </row>
    <row r="182" spans="2:19" ht="30" hidden="1" customHeight="1" x14ac:dyDescent="0.35">
      <c r="B182" s="230"/>
      <c r="C182" s="640"/>
      <c r="D182" s="235" t="s">
        <v>572</v>
      </c>
      <c r="E182" s="225"/>
      <c r="F182" s="268">
        <f>'PRECIO DEL METRAJE'!E184</f>
        <v>0</v>
      </c>
      <c r="G182" s="225" t="s">
        <v>414</v>
      </c>
      <c r="H182" s="272">
        <f>'PRECIO DEL METRAJE'!K184</f>
        <v>0</v>
      </c>
      <c r="I182" s="272">
        <f t="shared" si="15"/>
        <v>0</v>
      </c>
      <c r="J182" s="270"/>
      <c r="K182" s="280"/>
      <c r="M182" s="62" t="str">
        <f t="shared" si="12"/>
        <v>OCULTAR</v>
      </c>
      <c r="N182" s="62"/>
      <c r="O182" s="62"/>
      <c r="P182" s="62"/>
      <c r="Q182" s="62"/>
      <c r="R182" s="62"/>
      <c r="S182" s="62"/>
    </row>
    <row r="183" spans="2:19" ht="30" hidden="1" customHeight="1" x14ac:dyDescent="0.35">
      <c r="B183" s="230"/>
      <c r="C183" s="640"/>
      <c r="D183" s="235" t="s">
        <v>572</v>
      </c>
      <c r="E183" s="225"/>
      <c r="F183" s="268">
        <f>'PRECIO DEL METRAJE'!E185</f>
        <v>0</v>
      </c>
      <c r="G183" s="225" t="s">
        <v>414</v>
      </c>
      <c r="H183" s="272">
        <f>'PRECIO DEL METRAJE'!K185</f>
        <v>0</v>
      </c>
      <c r="I183" s="272">
        <f t="shared" si="15"/>
        <v>0</v>
      </c>
      <c r="J183" s="270"/>
      <c r="K183" s="280"/>
      <c r="M183" s="62" t="str">
        <f t="shared" si="12"/>
        <v>OCULTAR</v>
      </c>
      <c r="N183" s="62"/>
      <c r="O183" s="62"/>
      <c r="P183" s="62"/>
      <c r="Q183" s="62"/>
      <c r="R183" s="62"/>
      <c r="S183" s="62"/>
    </row>
    <row r="184" spans="2:19" ht="24.75" hidden="1" customHeight="1" x14ac:dyDescent="0.35">
      <c r="B184" s="230"/>
      <c r="C184" s="423"/>
      <c r="D184" s="244" t="str">
        <f>'PRECIO DEL METRAJE'!D187</f>
        <v>Cableado y conexión</v>
      </c>
      <c r="E184" s="225"/>
      <c r="F184" s="268">
        <f>'PRECIO DEL METRAJE'!E187</f>
        <v>0</v>
      </c>
      <c r="G184" s="225" t="s">
        <v>519</v>
      </c>
      <c r="H184" s="272">
        <f>'PRECIO DEL METRAJE'!K187</f>
        <v>769.30000000000007</v>
      </c>
      <c r="I184" s="272">
        <f t="shared" si="15"/>
        <v>0</v>
      </c>
      <c r="J184" s="270"/>
      <c r="K184" s="280"/>
      <c r="M184" s="62" t="str">
        <f t="shared" si="12"/>
        <v>OCULTAR</v>
      </c>
      <c r="N184" s="62"/>
      <c r="O184" s="62"/>
      <c r="P184" s="62"/>
      <c r="Q184" s="62"/>
      <c r="R184" s="62"/>
      <c r="S184" s="62"/>
    </row>
    <row r="185" spans="2:19" ht="25.5" hidden="1" customHeight="1" x14ac:dyDescent="0.35">
      <c r="B185" s="230"/>
      <c r="C185" s="423"/>
      <c r="D185" s="244" t="str">
        <f>'PRECIO DEL METRAJE'!D188</f>
        <v>Esquemas electricos</v>
      </c>
      <c r="E185" s="225"/>
      <c r="F185" s="268">
        <f>'PRECIO DEL METRAJE'!E188</f>
        <v>0</v>
      </c>
      <c r="G185" s="225" t="s">
        <v>519</v>
      </c>
      <c r="H185" s="272">
        <f>'PRECIO DEL METRAJE'!K188</f>
        <v>307.70000000000005</v>
      </c>
      <c r="I185" s="272">
        <f t="shared" si="15"/>
        <v>0</v>
      </c>
      <c r="J185" s="270"/>
      <c r="K185" s="280"/>
      <c r="M185" s="62" t="str">
        <f t="shared" si="12"/>
        <v>OCULTAR</v>
      </c>
      <c r="N185" s="62"/>
      <c r="O185" s="62"/>
      <c r="P185" s="62"/>
      <c r="Q185" s="62"/>
      <c r="R185" s="62"/>
      <c r="S185" s="62"/>
    </row>
    <row r="186" spans="2:19" ht="18" hidden="1" customHeight="1" x14ac:dyDescent="0.35">
      <c r="B186" s="230"/>
      <c r="C186" s="423"/>
      <c r="D186" s="229"/>
      <c r="E186" s="225"/>
      <c r="F186" s="268"/>
      <c r="G186" s="257"/>
      <c r="H186" s="272"/>
      <c r="I186" s="272"/>
      <c r="J186" s="270"/>
      <c r="K186" s="280"/>
      <c r="M186" s="62" t="str">
        <f t="shared" si="12"/>
        <v>OCULTAR</v>
      </c>
      <c r="N186" s="62"/>
      <c r="O186" s="62"/>
      <c r="P186" s="62"/>
      <c r="Q186" s="62"/>
      <c r="R186" s="62"/>
      <c r="S186" s="62"/>
    </row>
    <row r="187" spans="2:19" ht="18" hidden="1" customHeight="1" x14ac:dyDescent="0.35">
      <c r="B187" s="250">
        <f>IF(K187&gt;0,B171+1,B171)</f>
        <v>2</v>
      </c>
      <c r="C187" s="425"/>
      <c r="D187" s="251" t="s">
        <v>175</v>
      </c>
      <c r="E187" s="261"/>
      <c r="F187" s="291">
        <f>IF(K187&gt;1,1,0)</f>
        <v>0</v>
      </c>
      <c r="G187" s="261"/>
      <c r="H187" s="275"/>
      <c r="I187" s="275"/>
      <c r="J187" s="301">
        <f>K187</f>
        <v>0</v>
      </c>
      <c r="K187" s="253">
        <f>SUM(I188:I192)</f>
        <v>0</v>
      </c>
      <c r="L187" s="63"/>
      <c r="M187" s="62" t="str">
        <f>IF(K187&gt;0.1,"MOSTRAR","OCULTAR")</f>
        <v>OCULTAR</v>
      </c>
      <c r="N187" s="62"/>
      <c r="O187" s="62"/>
      <c r="P187" s="62"/>
      <c r="Q187" s="62"/>
      <c r="R187" s="62"/>
      <c r="S187" s="62"/>
    </row>
    <row r="188" spans="2:19" ht="18" hidden="1" customHeight="1" x14ac:dyDescent="0.35">
      <c r="B188" s="230"/>
      <c r="C188" s="423"/>
      <c r="D188" s="229"/>
      <c r="E188" s="225"/>
      <c r="F188" s="268"/>
      <c r="G188" s="257"/>
      <c r="H188" s="272"/>
      <c r="I188" s="272"/>
      <c r="J188" s="270"/>
      <c r="K188" s="280"/>
      <c r="M188" s="62" t="str">
        <f t="shared" si="12"/>
        <v>OCULTAR</v>
      </c>
      <c r="N188" s="62"/>
      <c r="O188" s="62"/>
      <c r="P188" s="62"/>
      <c r="Q188" s="62"/>
      <c r="R188" s="62"/>
      <c r="S188" s="62"/>
    </row>
    <row r="189" spans="2:19" ht="90" hidden="1" customHeight="1" x14ac:dyDescent="0.35">
      <c r="B189" s="230"/>
      <c r="C189" s="423"/>
      <c r="D189" s="244" t="s">
        <v>573</v>
      </c>
      <c r="E189" s="225"/>
      <c r="F189" s="268">
        <f>'PRECIO DEL METRAJE'!E192</f>
        <v>0</v>
      </c>
      <c r="G189" s="225" t="s">
        <v>414</v>
      </c>
      <c r="H189" s="272">
        <f>'PRECIO DEL METRAJE'!K192</f>
        <v>475.20000000000005</v>
      </c>
      <c r="I189" s="272">
        <f>H189*F189</f>
        <v>0</v>
      </c>
      <c r="J189" s="270"/>
      <c r="K189" s="280"/>
      <c r="M189" s="62" t="str">
        <f t="shared" si="12"/>
        <v>OCULTAR</v>
      </c>
      <c r="N189" s="62"/>
      <c r="O189" s="62"/>
      <c r="P189" s="62"/>
      <c r="Q189" s="62"/>
      <c r="R189" s="62"/>
      <c r="S189" s="62"/>
    </row>
    <row r="190" spans="2:19" ht="95.25" hidden="1" customHeight="1" x14ac:dyDescent="0.35">
      <c r="B190" s="230"/>
      <c r="C190" s="423"/>
      <c r="D190" s="244" t="s">
        <v>574</v>
      </c>
      <c r="E190" s="225"/>
      <c r="F190" s="268">
        <f>'PRECIO DEL METRAJE'!E193</f>
        <v>0</v>
      </c>
      <c r="G190" s="225" t="s">
        <v>414</v>
      </c>
      <c r="H190" s="272">
        <f>'PRECIO DEL METRAJE'!K193</f>
        <v>829.4</v>
      </c>
      <c r="I190" s="272">
        <f>H190*F190</f>
        <v>0</v>
      </c>
      <c r="J190" s="270"/>
      <c r="K190" s="280"/>
      <c r="M190" s="62" t="str">
        <f t="shared" ref="M190:M223" si="16">IF(F190&gt;0.1,"MOSTRAR","OCULTAR")</f>
        <v>OCULTAR</v>
      </c>
      <c r="N190" s="62"/>
      <c r="O190" s="62"/>
      <c r="P190" s="62"/>
      <c r="Q190" s="62"/>
      <c r="R190" s="62"/>
      <c r="S190" s="62"/>
    </row>
    <row r="191" spans="2:19" ht="96.75" hidden="1" customHeight="1" x14ac:dyDescent="0.35">
      <c r="B191" s="230"/>
      <c r="C191" s="423"/>
      <c r="D191" s="244" t="s">
        <v>575</v>
      </c>
      <c r="E191" s="225"/>
      <c r="F191" s="268">
        <f>'PRECIO DEL METRAJE'!E194</f>
        <v>0</v>
      </c>
      <c r="G191" s="225" t="s">
        <v>414</v>
      </c>
      <c r="H191" s="272">
        <f>'PRECIO DEL METRAJE'!K194</f>
        <v>303.3</v>
      </c>
      <c r="I191" s="272">
        <f>H191*F191</f>
        <v>0</v>
      </c>
      <c r="J191" s="270"/>
      <c r="K191" s="280"/>
      <c r="M191" s="62" t="str">
        <f t="shared" si="16"/>
        <v>OCULTAR</v>
      </c>
      <c r="N191" s="62"/>
      <c r="O191" s="62"/>
      <c r="P191" s="62"/>
      <c r="Q191" s="62"/>
      <c r="R191" s="62"/>
      <c r="S191" s="62"/>
    </row>
    <row r="192" spans="2:19" ht="18" hidden="1" customHeight="1" x14ac:dyDescent="0.35">
      <c r="B192" s="230"/>
      <c r="C192" s="423"/>
      <c r="D192" s="229"/>
      <c r="E192" s="225"/>
      <c r="F192" s="268"/>
      <c r="G192" s="257"/>
      <c r="H192" s="272"/>
      <c r="I192" s="272"/>
      <c r="J192" s="270"/>
      <c r="K192" s="280"/>
      <c r="M192" s="62" t="str">
        <f t="shared" si="16"/>
        <v>OCULTAR</v>
      </c>
      <c r="N192" s="62"/>
      <c r="O192" s="62"/>
      <c r="P192" s="62"/>
      <c r="Q192" s="62"/>
      <c r="R192" s="62"/>
      <c r="S192" s="62"/>
    </row>
    <row r="193" spans="2:19" ht="18" hidden="1" customHeight="1" x14ac:dyDescent="0.35">
      <c r="B193" s="250">
        <f>IF(K193&gt;0,B187+1,B187)</f>
        <v>2</v>
      </c>
      <c r="C193" s="425"/>
      <c r="D193" s="251" t="s">
        <v>179</v>
      </c>
      <c r="E193" s="261"/>
      <c r="F193" s="291">
        <f>IF(K193&gt;1,1,0)</f>
        <v>0</v>
      </c>
      <c r="G193" s="261"/>
      <c r="H193" s="275"/>
      <c r="I193" s="275"/>
      <c r="J193" s="301">
        <f>K193</f>
        <v>0</v>
      </c>
      <c r="K193" s="253">
        <f>SUM(I194:I207)</f>
        <v>0</v>
      </c>
      <c r="L193" s="63"/>
      <c r="M193" s="62" t="str">
        <f>IF(K193&gt;0.1,"MOSTRAR","OCULTAR")</f>
        <v>OCULTAR</v>
      </c>
      <c r="N193" s="62"/>
      <c r="O193" s="62"/>
      <c r="P193" s="62"/>
      <c r="Q193" s="62"/>
      <c r="R193" s="62"/>
      <c r="S193" s="62"/>
    </row>
    <row r="194" spans="2:19" ht="18" hidden="1" customHeight="1" x14ac:dyDescent="0.35">
      <c r="B194" s="230"/>
      <c r="C194" s="423"/>
      <c r="D194" s="260"/>
      <c r="E194" s="257"/>
      <c r="F194" s="257"/>
      <c r="G194" s="257"/>
      <c r="H194" s="276"/>
      <c r="I194" s="276"/>
      <c r="J194" s="282"/>
      <c r="K194" s="280"/>
      <c r="L194" s="57"/>
      <c r="M194" s="62" t="str">
        <f t="shared" si="16"/>
        <v>OCULTAR</v>
      </c>
      <c r="N194" s="62"/>
      <c r="O194" s="62"/>
      <c r="P194" s="62"/>
      <c r="Q194" s="62"/>
      <c r="R194" s="62"/>
      <c r="S194" s="62"/>
    </row>
    <row r="195" spans="2:19" ht="75.75" hidden="1" customHeight="1" x14ac:dyDescent="0.35">
      <c r="B195" s="230"/>
      <c r="C195" s="427"/>
      <c r="D195" s="229" t="s">
        <v>576</v>
      </c>
      <c r="E195" s="225"/>
      <c r="F195" s="268">
        <f>'PRECIO DEL METRAJE'!E198</f>
        <v>0</v>
      </c>
      <c r="G195" s="225" t="s">
        <v>414</v>
      </c>
      <c r="H195" s="272">
        <f>'PRECIO DEL METRAJE'!K198</f>
        <v>2666.7</v>
      </c>
      <c r="I195" s="272">
        <f>H195*F195</f>
        <v>0</v>
      </c>
      <c r="J195" s="270"/>
      <c r="K195" s="280"/>
      <c r="M195" s="62" t="str">
        <f t="shared" si="16"/>
        <v>OCULTAR</v>
      </c>
      <c r="N195" s="62"/>
      <c r="O195" s="62"/>
      <c r="P195" s="62"/>
      <c r="Q195" s="62"/>
      <c r="R195" s="62"/>
      <c r="S195" s="62"/>
    </row>
    <row r="196" spans="2:19" ht="70.5" hidden="1" customHeight="1" x14ac:dyDescent="0.35">
      <c r="B196" s="230"/>
      <c r="C196" s="427"/>
      <c r="D196" s="229" t="s">
        <v>577</v>
      </c>
      <c r="E196" s="225"/>
      <c r="F196" s="268">
        <f>'PRECIO DEL METRAJE'!E199</f>
        <v>0</v>
      </c>
      <c r="G196" s="225" t="s">
        <v>414</v>
      </c>
      <c r="H196" s="272">
        <f>'PRECIO DEL METRAJE'!K199</f>
        <v>0</v>
      </c>
      <c r="I196" s="272">
        <f>H196*F196</f>
        <v>0</v>
      </c>
      <c r="J196" s="270"/>
      <c r="K196" s="280"/>
      <c r="M196" s="62" t="str">
        <f t="shared" si="16"/>
        <v>OCULTAR</v>
      </c>
      <c r="N196" s="62"/>
      <c r="O196" s="62"/>
      <c r="P196" s="62"/>
      <c r="Q196" s="62"/>
      <c r="R196" s="62"/>
      <c r="S196" s="62"/>
    </row>
    <row r="197" spans="2:19" ht="12.75" hidden="1" customHeight="1" x14ac:dyDescent="0.35">
      <c r="B197" s="230"/>
      <c r="C197" s="427"/>
      <c r="D197" s="229"/>
      <c r="E197" s="225"/>
      <c r="F197" s="268"/>
      <c r="G197" s="225"/>
      <c r="H197" s="272"/>
      <c r="I197" s="272"/>
      <c r="J197" s="270"/>
      <c r="K197" s="280"/>
      <c r="M197" s="62" t="str">
        <f t="shared" si="16"/>
        <v>OCULTAR</v>
      </c>
      <c r="N197" s="62"/>
      <c r="O197" s="62"/>
      <c r="P197" s="62"/>
      <c r="Q197" s="62"/>
      <c r="R197" s="62"/>
      <c r="S197" s="62"/>
    </row>
    <row r="198" spans="2:19" ht="64.5" hidden="1" customHeight="1" x14ac:dyDescent="0.35">
      <c r="B198" s="230"/>
      <c r="C198" s="427"/>
      <c r="D198" s="229" t="s">
        <v>578</v>
      </c>
      <c r="E198" s="225"/>
      <c r="F198" s="268">
        <f>'PRECIO DEL METRAJE'!E201</f>
        <v>0</v>
      </c>
      <c r="G198" s="225" t="s">
        <v>414</v>
      </c>
      <c r="H198" s="272">
        <f>'PRECIO DEL METRAJE'!K201</f>
        <v>3560</v>
      </c>
      <c r="I198" s="272">
        <f>H198*F198</f>
        <v>0</v>
      </c>
      <c r="J198" s="270"/>
      <c r="K198" s="280"/>
      <c r="M198" s="62" t="str">
        <f t="shared" si="16"/>
        <v>OCULTAR</v>
      </c>
      <c r="N198" s="62"/>
      <c r="O198" s="62"/>
      <c r="P198" s="62"/>
      <c r="Q198" s="62"/>
      <c r="R198" s="62"/>
      <c r="S198" s="62"/>
    </row>
    <row r="199" spans="2:19" ht="69.75" hidden="1" customHeight="1" x14ac:dyDescent="0.35">
      <c r="B199" s="230"/>
      <c r="C199" s="427"/>
      <c r="D199" s="229" t="s">
        <v>579</v>
      </c>
      <c r="E199" s="225"/>
      <c r="F199" s="268">
        <f>'PRECIO DEL METRAJE'!E202</f>
        <v>0</v>
      </c>
      <c r="G199" s="225" t="s">
        <v>414</v>
      </c>
      <c r="H199" s="272">
        <f>'PRECIO DEL METRAJE'!K202</f>
        <v>3750</v>
      </c>
      <c r="I199" s="272">
        <f>H199*F199</f>
        <v>0</v>
      </c>
      <c r="J199" s="270"/>
      <c r="K199" s="280"/>
      <c r="M199" s="62" t="str">
        <f t="shared" si="16"/>
        <v>OCULTAR</v>
      </c>
      <c r="N199" s="62"/>
      <c r="O199" s="62"/>
      <c r="P199" s="62"/>
      <c r="Q199" s="62"/>
      <c r="R199" s="62"/>
      <c r="S199" s="62"/>
    </row>
    <row r="200" spans="2:19" ht="18" hidden="1" customHeight="1" x14ac:dyDescent="0.35">
      <c r="B200" s="230"/>
      <c r="C200" s="427"/>
      <c r="D200" s="229"/>
      <c r="E200" s="225"/>
      <c r="F200" s="268"/>
      <c r="G200" s="225"/>
      <c r="H200" s="272"/>
      <c r="I200" s="272"/>
      <c r="J200" s="270"/>
      <c r="K200" s="280"/>
      <c r="M200" s="62" t="str">
        <f t="shared" si="16"/>
        <v>OCULTAR</v>
      </c>
      <c r="N200" s="62"/>
      <c r="O200" s="62"/>
      <c r="P200" s="62"/>
      <c r="Q200" s="62"/>
      <c r="R200" s="62"/>
      <c r="S200" s="62"/>
    </row>
    <row r="201" spans="2:19" ht="18" hidden="1" customHeight="1" x14ac:dyDescent="0.35">
      <c r="B201" s="230"/>
      <c r="C201" s="428"/>
      <c r="D201" s="229" t="s">
        <v>580</v>
      </c>
      <c r="E201" s="225"/>
      <c r="F201" s="268">
        <f>'PRECIO DEL METRAJE'!E204</f>
        <v>0</v>
      </c>
      <c r="G201" s="225" t="s">
        <v>414</v>
      </c>
      <c r="H201" s="272">
        <f>'PRECIO DEL METRAJE'!K204</f>
        <v>0</v>
      </c>
      <c r="I201" s="272">
        <f t="shared" ref="I201:I202" si="17">H201*F201</f>
        <v>0</v>
      </c>
      <c r="J201" s="270"/>
      <c r="K201" s="280"/>
      <c r="M201" s="62" t="str">
        <f t="shared" si="16"/>
        <v>OCULTAR</v>
      </c>
      <c r="N201" s="62"/>
      <c r="O201" s="62"/>
      <c r="P201" s="62"/>
      <c r="Q201" s="62"/>
      <c r="R201" s="62"/>
      <c r="S201" s="62"/>
    </row>
    <row r="202" spans="2:19" ht="136.5" hidden="1" customHeight="1" x14ac:dyDescent="0.35">
      <c r="B202" s="230"/>
      <c r="C202" s="427"/>
      <c r="D202" s="229" t="s">
        <v>581</v>
      </c>
      <c r="E202" s="225"/>
      <c r="F202" s="268">
        <f>'PRECIO DEL METRAJE'!E205</f>
        <v>0</v>
      </c>
      <c r="G202" s="225" t="s">
        <v>414</v>
      </c>
      <c r="H202" s="272">
        <f>'PRECIO DEL METRAJE'!K205</f>
        <v>0</v>
      </c>
      <c r="I202" s="272">
        <f t="shared" si="17"/>
        <v>0</v>
      </c>
      <c r="J202" s="270"/>
      <c r="K202" s="280"/>
      <c r="M202" s="62" t="str">
        <f t="shared" si="16"/>
        <v>OCULTAR</v>
      </c>
      <c r="N202" s="62"/>
      <c r="O202" s="62"/>
      <c r="P202" s="62"/>
      <c r="Q202" s="62"/>
      <c r="R202" s="62"/>
      <c r="S202" s="62"/>
    </row>
    <row r="203" spans="2:19" ht="18" hidden="1" customHeight="1" x14ac:dyDescent="0.35">
      <c r="B203" s="230"/>
      <c r="C203" s="423"/>
      <c r="D203" s="229"/>
      <c r="E203" s="225"/>
      <c r="F203" s="268"/>
      <c r="G203" s="225"/>
      <c r="H203" s="272"/>
      <c r="I203" s="272"/>
      <c r="J203" s="270"/>
      <c r="K203" s="280"/>
      <c r="M203" s="62" t="str">
        <f t="shared" si="16"/>
        <v>OCULTAR</v>
      </c>
      <c r="N203" s="62"/>
      <c r="O203" s="62"/>
      <c r="P203" s="62"/>
      <c r="Q203" s="62"/>
      <c r="R203" s="62"/>
      <c r="S203" s="62"/>
    </row>
    <row r="204" spans="2:19" ht="18" hidden="1" customHeight="1" x14ac:dyDescent="0.35">
      <c r="B204" s="230"/>
      <c r="C204" s="423"/>
      <c r="D204" s="229" t="s">
        <v>582</v>
      </c>
      <c r="E204" s="225"/>
      <c r="F204" s="268">
        <f>'PRECIO DEL METRAJE'!E207</f>
        <v>0</v>
      </c>
      <c r="G204" s="225" t="s">
        <v>414</v>
      </c>
      <c r="H204" s="272">
        <f>'PRECIO DEL METRAJE'!K207</f>
        <v>0</v>
      </c>
      <c r="I204" s="272">
        <f>H204*F204</f>
        <v>0</v>
      </c>
      <c r="J204" s="270"/>
      <c r="K204" s="280"/>
      <c r="M204" s="62" t="str">
        <f t="shared" si="16"/>
        <v>OCULTAR</v>
      </c>
      <c r="N204" s="62"/>
      <c r="O204" s="62"/>
      <c r="P204" s="62"/>
      <c r="Q204" s="62"/>
      <c r="R204" s="62"/>
      <c r="S204" s="62"/>
    </row>
    <row r="205" spans="2:19" ht="18" hidden="1" customHeight="1" x14ac:dyDescent="0.35">
      <c r="B205" s="230"/>
      <c r="C205" s="423"/>
      <c r="D205" s="229" t="s">
        <v>583</v>
      </c>
      <c r="E205" s="225"/>
      <c r="F205" s="268">
        <f>'PRECIO DEL METRAJE'!E208</f>
        <v>0</v>
      </c>
      <c r="G205" s="225" t="s">
        <v>414</v>
      </c>
      <c r="H205" s="272">
        <f>'PRECIO DEL METRAJE'!K208</f>
        <v>0</v>
      </c>
      <c r="I205" s="272">
        <f>H205*F205</f>
        <v>0</v>
      </c>
      <c r="J205" s="270"/>
      <c r="K205" s="280"/>
      <c r="M205" s="62" t="str">
        <f t="shared" si="16"/>
        <v>OCULTAR</v>
      </c>
      <c r="N205" s="62"/>
      <c r="O205" s="62"/>
      <c r="P205" s="62"/>
      <c r="Q205" s="62"/>
      <c r="R205" s="62"/>
      <c r="S205" s="62"/>
    </row>
    <row r="206" spans="2:19" ht="18" hidden="1" customHeight="1" x14ac:dyDescent="0.35">
      <c r="B206" s="230"/>
      <c r="C206" s="423"/>
      <c r="D206" s="229" t="s">
        <v>584</v>
      </c>
      <c r="E206" s="225"/>
      <c r="F206" s="268">
        <f>'PRECIO DEL METRAJE'!E209</f>
        <v>0</v>
      </c>
      <c r="G206" s="225" t="s">
        <v>414</v>
      </c>
      <c r="H206" s="272">
        <f>'PRECIO DEL METRAJE'!K209</f>
        <v>131</v>
      </c>
      <c r="I206" s="272">
        <f>H206*F206</f>
        <v>0</v>
      </c>
      <c r="J206" s="270"/>
      <c r="K206" s="280"/>
      <c r="M206" s="62" t="str">
        <f t="shared" si="16"/>
        <v>OCULTAR</v>
      </c>
      <c r="N206" s="62"/>
      <c r="O206" s="62"/>
      <c r="P206" s="62"/>
      <c r="Q206" s="62"/>
      <c r="R206" s="62"/>
      <c r="S206" s="62"/>
    </row>
    <row r="207" spans="2:19" ht="18" hidden="1" customHeight="1" x14ac:dyDescent="0.35">
      <c r="B207" s="230"/>
      <c r="C207" s="423"/>
      <c r="D207" s="229"/>
      <c r="E207" s="225"/>
      <c r="F207" s="268"/>
      <c r="G207" s="257"/>
      <c r="H207" s="272"/>
      <c r="I207" s="272"/>
      <c r="J207" s="270"/>
      <c r="K207" s="280"/>
      <c r="M207" s="62" t="str">
        <f t="shared" si="16"/>
        <v>OCULTAR</v>
      </c>
      <c r="N207" s="62"/>
      <c r="O207" s="62"/>
      <c r="P207" s="62"/>
      <c r="Q207" s="62"/>
      <c r="R207" s="62"/>
      <c r="S207" s="62"/>
    </row>
    <row r="208" spans="2:19" ht="18" hidden="1" customHeight="1" x14ac:dyDescent="0.35">
      <c r="B208" s="250">
        <f>IF(K208&gt;0,B193+1,B193)</f>
        <v>2</v>
      </c>
      <c r="C208" s="425"/>
      <c r="D208" s="251" t="s">
        <v>189</v>
      </c>
      <c r="E208" s="261"/>
      <c r="F208" s="291">
        <f>IF(K208&gt;1,1,0)</f>
        <v>0</v>
      </c>
      <c r="G208" s="261"/>
      <c r="H208" s="275"/>
      <c r="I208" s="275"/>
      <c r="J208" s="301">
        <f>K208</f>
        <v>0</v>
      </c>
      <c r="K208" s="253">
        <f>SUM(I209:I219)</f>
        <v>0</v>
      </c>
      <c r="L208" s="63"/>
      <c r="M208" s="62" t="str">
        <f>IF(K208&gt;0.1,"MOSTRAR","OCULTAR")</f>
        <v>OCULTAR</v>
      </c>
      <c r="N208" s="62"/>
      <c r="O208" s="62"/>
      <c r="P208" s="62"/>
      <c r="Q208" s="62"/>
      <c r="R208" s="62"/>
      <c r="S208" s="62"/>
    </row>
    <row r="209" spans="2:19" ht="18" hidden="1" customHeight="1" x14ac:dyDescent="0.35">
      <c r="B209" s="230"/>
      <c r="C209" s="423"/>
      <c r="D209" s="260"/>
      <c r="E209" s="257"/>
      <c r="F209" s="257"/>
      <c r="G209" s="257"/>
      <c r="H209" s="276"/>
      <c r="I209" s="276"/>
      <c r="J209" s="282"/>
      <c r="K209" s="280"/>
      <c r="L209" s="57"/>
      <c r="M209" s="62" t="str">
        <f t="shared" si="16"/>
        <v>OCULTAR</v>
      </c>
      <c r="N209" s="62"/>
      <c r="O209" s="62"/>
      <c r="P209" s="62"/>
      <c r="Q209" s="62"/>
      <c r="R209" s="62"/>
      <c r="S209" s="62"/>
    </row>
    <row r="210" spans="2:19" ht="63.75" hidden="1" customHeight="1" x14ac:dyDescent="0.35">
      <c r="B210" s="230"/>
      <c r="C210" s="423"/>
      <c r="D210" s="229" t="s">
        <v>585</v>
      </c>
      <c r="E210" s="225"/>
      <c r="F210" s="268">
        <f>'PRECIO DEL METRAJE'!E213</f>
        <v>0</v>
      </c>
      <c r="G210" s="225" t="s">
        <v>414</v>
      </c>
      <c r="H210" s="272">
        <f>'PRECIO DEL METRAJE'!K213</f>
        <v>293.40000000000003</v>
      </c>
      <c r="I210" s="272">
        <f t="shared" ref="I210:I218" si="18">H210*F210</f>
        <v>0</v>
      </c>
      <c r="J210" s="270"/>
      <c r="K210" s="280"/>
      <c r="M210" s="62" t="str">
        <f t="shared" si="16"/>
        <v>OCULTAR</v>
      </c>
      <c r="N210" s="62"/>
      <c r="O210" s="62"/>
      <c r="P210" s="62"/>
      <c r="Q210" s="62"/>
      <c r="R210" s="62"/>
      <c r="S210" s="62"/>
    </row>
    <row r="211" spans="2:19" ht="52.5" hidden="1" customHeight="1" x14ac:dyDescent="0.35">
      <c r="B211" s="230"/>
      <c r="C211" s="423"/>
      <c r="D211" s="229" t="s">
        <v>586</v>
      </c>
      <c r="E211" s="225"/>
      <c r="F211" s="268">
        <f>'PRECIO DEL METRAJE'!E214</f>
        <v>0</v>
      </c>
      <c r="G211" s="225" t="s">
        <v>414</v>
      </c>
      <c r="H211" s="272">
        <f>'PRECIO DEL METRAJE'!K214</f>
        <v>235</v>
      </c>
      <c r="I211" s="272">
        <f t="shared" si="18"/>
        <v>0</v>
      </c>
      <c r="J211" s="270"/>
      <c r="K211" s="280"/>
      <c r="M211" s="62" t="str">
        <f t="shared" si="16"/>
        <v>OCULTAR</v>
      </c>
      <c r="N211" s="62"/>
      <c r="O211" s="62"/>
      <c r="P211" s="62"/>
      <c r="Q211" s="62"/>
      <c r="R211" s="62"/>
      <c r="S211" s="62"/>
    </row>
    <row r="212" spans="2:19" ht="71.25" hidden="1" customHeight="1" x14ac:dyDescent="0.35">
      <c r="B212" s="230"/>
      <c r="C212" s="423"/>
      <c r="D212" s="229" t="s">
        <v>587</v>
      </c>
      <c r="E212" s="225"/>
      <c r="F212" s="268">
        <f>'PRECIO DEL METRAJE'!E215</f>
        <v>0</v>
      </c>
      <c r="G212" s="225" t="s">
        <v>414</v>
      </c>
      <c r="H212" s="272">
        <f>'PRECIO DEL METRAJE'!K215</f>
        <v>162.5</v>
      </c>
      <c r="I212" s="272">
        <f t="shared" si="18"/>
        <v>0</v>
      </c>
      <c r="J212" s="270"/>
      <c r="K212" s="280"/>
      <c r="M212" s="62" t="str">
        <f t="shared" si="16"/>
        <v>OCULTAR</v>
      </c>
      <c r="N212" s="62"/>
      <c r="O212" s="62"/>
      <c r="P212" s="62"/>
      <c r="Q212" s="62"/>
      <c r="R212" s="62"/>
      <c r="S212" s="62"/>
    </row>
    <row r="213" spans="2:19" ht="45.75" hidden="1" customHeight="1" x14ac:dyDescent="0.35">
      <c r="B213" s="230"/>
      <c r="C213" s="423"/>
      <c r="D213" s="229" t="s">
        <v>588</v>
      </c>
      <c r="E213" s="225"/>
      <c r="F213" s="268">
        <f>'PRECIO DEL METRAJE'!E216</f>
        <v>0</v>
      </c>
      <c r="G213" s="225" t="s">
        <v>414</v>
      </c>
      <c r="H213" s="272">
        <f>'PRECIO DEL METRAJE'!K216</f>
        <v>105.5</v>
      </c>
      <c r="I213" s="272">
        <f t="shared" si="18"/>
        <v>0</v>
      </c>
      <c r="J213" s="270"/>
      <c r="K213" s="280"/>
      <c r="M213" s="62" t="str">
        <f t="shared" si="16"/>
        <v>OCULTAR</v>
      </c>
      <c r="N213" s="62"/>
      <c r="O213" s="62"/>
      <c r="P213" s="62"/>
      <c r="Q213" s="62"/>
      <c r="R213" s="62"/>
      <c r="S213" s="62"/>
    </row>
    <row r="214" spans="2:19" ht="76.5" hidden="1" customHeight="1" x14ac:dyDescent="0.35">
      <c r="B214" s="230"/>
      <c r="C214" s="423"/>
      <c r="D214" s="229" t="s">
        <v>589</v>
      </c>
      <c r="E214" s="225"/>
      <c r="F214" s="268">
        <f>'PRECIO DEL METRAJE'!E217</f>
        <v>0</v>
      </c>
      <c r="G214" s="225" t="s">
        <v>414</v>
      </c>
      <c r="H214" s="272">
        <f>'PRECIO DEL METRAJE'!K217</f>
        <v>77.5</v>
      </c>
      <c r="I214" s="272">
        <f t="shared" si="18"/>
        <v>0</v>
      </c>
      <c r="J214" s="270"/>
      <c r="K214" s="280"/>
      <c r="M214" s="62" t="str">
        <f t="shared" si="16"/>
        <v>OCULTAR</v>
      </c>
      <c r="N214" s="62"/>
      <c r="O214" s="62"/>
      <c r="P214" s="62"/>
      <c r="Q214" s="62"/>
      <c r="R214" s="62"/>
      <c r="S214" s="62"/>
    </row>
    <row r="215" spans="2:19" ht="77.25" hidden="1" customHeight="1" x14ac:dyDescent="0.35">
      <c r="B215" s="230"/>
      <c r="C215" s="423"/>
      <c r="D215" s="229" t="s">
        <v>590</v>
      </c>
      <c r="E215" s="225"/>
      <c r="F215" s="268">
        <f>'PRECIO DEL METRAJE'!E218</f>
        <v>0</v>
      </c>
      <c r="G215" s="225" t="s">
        <v>414</v>
      </c>
      <c r="H215" s="272">
        <f>'PRECIO DEL METRAJE'!K218</f>
        <v>42.5</v>
      </c>
      <c r="I215" s="272">
        <f t="shared" si="18"/>
        <v>0</v>
      </c>
      <c r="J215" s="270"/>
      <c r="K215" s="280"/>
      <c r="M215" s="62" t="str">
        <f t="shared" si="16"/>
        <v>OCULTAR</v>
      </c>
      <c r="N215" s="62"/>
      <c r="O215" s="62"/>
      <c r="P215" s="62"/>
      <c r="Q215" s="62"/>
      <c r="R215" s="62"/>
      <c r="S215" s="62"/>
    </row>
    <row r="216" spans="2:19" ht="81.650000000000006" hidden="1" customHeight="1" x14ac:dyDescent="0.35">
      <c r="B216" s="230"/>
      <c r="C216" s="423"/>
      <c r="D216" s="229" t="s">
        <v>591</v>
      </c>
      <c r="E216" s="225"/>
      <c r="F216" s="268">
        <f>'PRECIO DEL METRAJE'!E219</f>
        <v>0</v>
      </c>
      <c r="G216" s="225" t="s">
        <v>414</v>
      </c>
      <c r="H216" s="272">
        <f>'PRECIO DEL METRAJE'!K219</f>
        <v>853.4</v>
      </c>
      <c r="I216" s="272">
        <f t="shared" si="18"/>
        <v>0</v>
      </c>
      <c r="J216" s="270"/>
      <c r="K216" s="280"/>
      <c r="M216" s="62" t="str">
        <f t="shared" si="16"/>
        <v>OCULTAR</v>
      </c>
      <c r="N216" s="62"/>
      <c r="O216" s="62"/>
      <c r="P216" s="62"/>
      <c r="Q216" s="62"/>
      <c r="R216" s="62"/>
      <c r="S216" s="62"/>
    </row>
    <row r="217" spans="2:19" ht="74.5" hidden="1" customHeight="1" x14ac:dyDescent="0.35">
      <c r="B217" s="230"/>
      <c r="C217" s="423"/>
      <c r="D217" s="229" t="s">
        <v>592</v>
      </c>
      <c r="E217" s="225"/>
      <c r="F217" s="268">
        <f>'PRECIO DEL METRAJE'!E220</f>
        <v>0</v>
      </c>
      <c r="G217" s="225" t="s">
        <v>414</v>
      </c>
      <c r="H217" s="272">
        <f>'PRECIO DEL METRAJE'!K220</f>
        <v>1291.6999999999998</v>
      </c>
      <c r="I217" s="272">
        <f t="shared" si="18"/>
        <v>0</v>
      </c>
      <c r="J217" s="270"/>
      <c r="K217" s="280"/>
      <c r="M217" s="62" t="str">
        <f t="shared" si="16"/>
        <v>OCULTAR</v>
      </c>
      <c r="N217" s="62"/>
      <c r="O217" s="62"/>
      <c r="P217" s="62"/>
      <c r="Q217" s="62"/>
      <c r="R217" s="62"/>
      <c r="S217" s="62"/>
    </row>
    <row r="218" spans="2:19" ht="18" hidden="1" customHeight="1" x14ac:dyDescent="0.35">
      <c r="B218" s="230"/>
      <c r="C218" s="423"/>
      <c r="D218" s="229" t="s">
        <v>593</v>
      </c>
      <c r="E218" s="225"/>
      <c r="F218" s="268">
        <f>'PRECIO DEL METRAJE'!E221</f>
        <v>0</v>
      </c>
      <c r="G218" s="225" t="s">
        <v>414</v>
      </c>
      <c r="H218" s="272">
        <f>'PRECIO DEL METRAJE'!K221</f>
        <v>333.40000000000003</v>
      </c>
      <c r="I218" s="272">
        <f t="shared" si="18"/>
        <v>0</v>
      </c>
      <c r="J218" s="270"/>
      <c r="K218" s="280"/>
      <c r="M218" s="62" t="str">
        <f t="shared" si="16"/>
        <v>OCULTAR</v>
      </c>
      <c r="N218" s="62"/>
      <c r="O218" s="62"/>
      <c r="P218" s="62"/>
      <c r="Q218" s="62"/>
      <c r="R218" s="62"/>
      <c r="S218" s="62"/>
    </row>
    <row r="219" spans="2:19" ht="18" hidden="1" customHeight="1" x14ac:dyDescent="0.35">
      <c r="B219" s="230"/>
      <c r="C219" s="423"/>
      <c r="D219" s="229"/>
      <c r="E219" s="225"/>
      <c r="F219" s="257">
        <f>IF(K220&gt;1,1,0)</f>
        <v>0</v>
      </c>
      <c r="G219" s="257"/>
      <c r="H219" s="272"/>
      <c r="I219" s="272"/>
      <c r="J219" s="270"/>
      <c r="K219" s="280"/>
      <c r="M219" s="62" t="str">
        <f t="shared" si="16"/>
        <v>OCULTAR</v>
      </c>
      <c r="N219" s="62"/>
      <c r="O219" s="62"/>
      <c r="P219" s="62"/>
      <c r="Q219" s="62"/>
      <c r="R219" s="62"/>
      <c r="S219" s="62"/>
    </row>
    <row r="220" spans="2:19" ht="18" hidden="1" customHeight="1" x14ac:dyDescent="0.35">
      <c r="B220" s="250">
        <f>IF(K220&gt;0,B208+1,B208)</f>
        <v>2</v>
      </c>
      <c r="C220" s="425"/>
      <c r="D220" s="251" t="s">
        <v>199</v>
      </c>
      <c r="E220" s="261"/>
      <c r="F220" s="291">
        <f>IF(K220&gt;1,1,0)</f>
        <v>0</v>
      </c>
      <c r="G220" s="261"/>
      <c r="H220" s="275"/>
      <c r="I220" s="275"/>
      <c r="J220" s="301">
        <f>K220</f>
        <v>0</v>
      </c>
      <c r="K220" s="253">
        <f>SUM(I221:I229)</f>
        <v>0</v>
      </c>
      <c r="L220" s="63"/>
      <c r="M220" s="62" t="str">
        <f>IF(K220&gt;0.1,"MOSTRAR","OCULTAR")</f>
        <v>OCULTAR</v>
      </c>
      <c r="N220" s="62"/>
      <c r="O220" s="62"/>
      <c r="P220" s="62"/>
      <c r="Q220" s="62"/>
      <c r="R220" s="62"/>
      <c r="S220" s="62"/>
    </row>
    <row r="221" spans="2:19" ht="12" hidden="1" customHeight="1" x14ac:dyDescent="0.35">
      <c r="B221" s="230"/>
      <c r="C221" s="423"/>
      <c r="D221" s="260"/>
      <c r="E221" s="257"/>
      <c r="F221" s="257"/>
      <c r="G221" s="257"/>
      <c r="H221" s="276"/>
      <c r="I221" s="276"/>
      <c r="J221" s="282"/>
      <c r="K221" s="280"/>
      <c r="L221" s="57"/>
      <c r="M221" s="62" t="str">
        <f t="shared" si="16"/>
        <v>OCULTAR</v>
      </c>
      <c r="N221" s="62"/>
      <c r="O221" s="62"/>
      <c r="P221" s="62"/>
      <c r="Q221" s="62"/>
      <c r="R221" s="62"/>
      <c r="S221" s="62"/>
    </row>
    <row r="222" spans="2:19" ht="57.75" hidden="1" customHeight="1" x14ac:dyDescent="0.35">
      <c r="B222" s="230"/>
      <c r="C222" s="423"/>
      <c r="D222" s="550" t="s">
        <v>1209</v>
      </c>
      <c r="E222" s="225"/>
      <c r="F222" s="268">
        <f>'PRECIO DEL METRAJE'!E225</f>
        <v>0</v>
      </c>
      <c r="G222" s="225" t="s">
        <v>215</v>
      </c>
      <c r="H222" s="272">
        <f>'PRECIO DEL METRAJE'!K225</f>
        <v>227.7</v>
      </c>
      <c r="I222" s="272">
        <f>H222*F222</f>
        <v>0</v>
      </c>
      <c r="J222" s="270"/>
      <c r="K222" s="280"/>
      <c r="M222" s="62" t="str">
        <f t="shared" si="16"/>
        <v>OCULTAR</v>
      </c>
      <c r="N222" s="62"/>
      <c r="O222" s="62"/>
      <c r="P222" s="62"/>
      <c r="Q222" s="62"/>
      <c r="R222" s="62"/>
      <c r="S222" s="62"/>
    </row>
    <row r="223" spans="2:19" ht="78.75" hidden="1" customHeight="1" x14ac:dyDescent="0.35">
      <c r="B223" s="230"/>
      <c r="C223" s="423"/>
      <c r="D223" s="235" t="s">
        <v>1210</v>
      </c>
      <c r="E223" s="225"/>
      <c r="F223" s="268">
        <f>'PRECIO DEL METRAJE'!E226</f>
        <v>0</v>
      </c>
      <c r="G223" s="225" t="s">
        <v>215</v>
      </c>
      <c r="H223" s="272">
        <f>'PRECIO DEL METRAJE'!K226</f>
        <v>43.2</v>
      </c>
      <c r="I223" s="272">
        <f>H223*F223</f>
        <v>0</v>
      </c>
      <c r="J223" s="270"/>
      <c r="K223" s="280"/>
      <c r="M223" s="62" t="str">
        <f t="shared" si="16"/>
        <v>OCULTAR</v>
      </c>
      <c r="N223" s="62"/>
      <c r="O223" s="62"/>
      <c r="P223" s="62"/>
      <c r="Q223" s="62"/>
      <c r="R223" s="62"/>
      <c r="S223" s="62"/>
    </row>
    <row r="224" spans="2:19" ht="15" hidden="1" customHeight="1" x14ac:dyDescent="0.35">
      <c r="B224" s="230"/>
      <c r="C224" s="423"/>
      <c r="D224" s="229" t="s">
        <v>594</v>
      </c>
      <c r="E224" s="225"/>
      <c r="F224" s="268">
        <f>'PRECIO DEL METRAJE'!E227</f>
        <v>0</v>
      </c>
      <c r="G224" s="225" t="s">
        <v>414</v>
      </c>
      <c r="H224" s="272">
        <f>'PRECIO DEL METRAJE'!K227</f>
        <v>0</v>
      </c>
      <c r="I224" s="272">
        <f t="shared" ref="I224:I227" si="19">H224*F224</f>
        <v>0</v>
      </c>
      <c r="J224" s="270"/>
      <c r="K224" s="280"/>
      <c r="M224" s="62" t="str">
        <f t="shared" ref="M224:M242" si="20">IF(F224&gt;0.1,"MOSTRAR","OCULTAR")</f>
        <v>OCULTAR</v>
      </c>
      <c r="N224" s="62"/>
      <c r="O224" s="62"/>
      <c r="P224" s="62"/>
      <c r="Q224" s="62"/>
      <c r="R224" s="62"/>
      <c r="S224" s="62"/>
    </row>
    <row r="225" spans="2:19" ht="18" hidden="1" customHeight="1" x14ac:dyDescent="0.35">
      <c r="B225" s="230"/>
      <c r="C225" s="423"/>
      <c r="D225" s="229" t="s">
        <v>595</v>
      </c>
      <c r="E225" s="225"/>
      <c r="F225" s="268">
        <f>'PRECIO DEL METRAJE'!E228</f>
        <v>0</v>
      </c>
      <c r="G225" s="225" t="s">
        <v>414</v>
      </c>
      <c r="H225" s="272">
        <f>'PRECIO DEL METRAJE'!K228</f>
        <v>0</v>
      </c>
      <c r="I225" s="272">
        <f t="shared" si="19"/>
        <v>0</v>
      </c>
      <c r="J225" s="270"/>
      <c r="K225" s="280"/>
      <c r="M225" s="62" t="str">
        <f t="shared" si="20"/>
        <v>OCULTAR</v>
      </c>
      <c r="N225" s="62"/>
      <c r="O225" s="62"/>
      <c r="P225" s="62"/>
      <c r="Q225" s="62"/>
      <c r="R225" s="62"/>
      <c r="S225" s="62"/>
    </row>
    <row r="226" spans="2:19" ht="18" hidden="1" customHeight="1" x14ac:dyDescent="0.35">
      <c r="B226" s="230"/>
      <c r="C226" s="423"/>
      <c r="D226" s="229" t="s">
        <v>596</v>
      </c>
      <c r="E226" s="225"/>
      <c r="F226" s="268">
        <f>'PRECIO DEL METRAJE'!E229</f>
        <v>0</v>
      </c>
      <c r="G226" s="225" t="s">
        <v>414</v>
      </c>
      <c r="H226" s="272">
        <f>'PRECIO DEL METRAJE'!K229</f>
        <v>0</v>
      </c>
      <c r="I226" s="272">
        <f t="shared" si="19"/>
        <v>0</v>
      </c>
      <c r="J226" s="270"/>
      <c r="K226" s="280"/>
      <c r="M226" s="62" t="str">
        <f t="shared" si="20"/>
        <v>OCULTAR</v>
      </c>
      <c r="N226" s="62"/>
      <c r="O226" s="62"/>
      <c r="P226" s="62"/>
      <c r="Q226" s="62"/>
      <c r="R226" s="62"/>
      <c r="S226" s="62"/>
    </row>
    <row r="227" spans="2:19" ht="69.75" hidden="1" customHeight="1" x14ac:dyDescent="0.35">
      <c r="B227" s="230"/>
      <c r="C227" s="423"/>
      <c r="D227" s="235" t="s">
        <v>1211</v>
      </c>
      <c r="E227" s="225"/>
      <c r="F227" s="268">
        <f>'PRECIO DEL METRAJE'!E230</f>
        <v>0</v>
      </c>
      <c r="G227" s="225" t="s">
        <v>414</v>
      </c>
      <c r="H227" s="272">
        <f>'PRECIO DEL METRAJE'!K230</f>
        <v>540</v>
      </c>
      <c r="I227" s="272">
        <f t="shared" si="19"/>
        <v>0</v>
      </c>
      <c r="J227" s="270"/>
      <c r="K227" s="280"/>
      <c r="M227" s="62" t="str">
        <f t="shared" si="20"/>
        <v>OCULTAR</v>
      </c>
      <c r="N227" s="62"/>
      <c r="O227" s="62"/>
      <c r="P227" s="62"/>
      <c r="Q227" s="62"/>
      <c r="R227" s="62"/>
      <c r="S227" s="62"/>
    </row>
    <row r="228" spans="2:19" ht="72" hidden="1" customHeight="1" x14ac:dyDescent="0.35">
      <c r="B228" s="230"/>
      <c r="C228" s="423"/>
      <c r="D228" s="235" t="s">
        <v>1212</v>
      </c>
      <c r="E228" s="225"/>
      <c r="F228" s="268">
        <f>'PRECIO DEL METRAJE'!E231</f>
        <v>0</v>
      </c>
      <c r="G228" s="225" t="s">
        <v>414</v>
      </c>
      <c r="H228" s="272">
        <f>'PRECIO DEL METRAJE'!K231</f>
        <v>98.6</v>
      </c>
      <c r="I228" s="272">
        <f>H228*F228</f>
        <v>0</v>
      </c>
      <c r="J228" s="270"/>
      <c r="K228" s="280"/>
      <c r="M228" s="62" t="str">
        <f t="shared" si="20"/>
        <v>OCULTAR</v>
      </c>
      <c r="N228" s="62"/>
      <c r="O228" s="62"/>
      <c r="P228" s="62"/>
      <c r="Q228" s="62"/>
      <c r="R228" s="62"/>
      <c r="S228" s="62"/>
    </row>
    <row r="229" spans="2:19" ht="15.75" hidden="1" customHeight="1" x14ac:dyDescent="0.35">
      <c r="B229" s="230"/>
      <c r="C229" s="423"/>
      <c r="D229" s="229"/>
      <c r="E229" s="225"/>
      <c r="F229" s="257">
        <f>IF(K230&gt;1,1,0)</f>
        <v>0</v>
      </c>
      <c r="G229" s="257"/>
      <c r="H229" s="272"/>
      <c r="I229" s="272"/>
      <c r="J229" s="270"/>
      <c r="K229" s="280"/>
      <c r="M229" s="62" t="str">
        <f t="shared" si="20"/>
        <v>OCULTAR</v>
      </c>
      <c r="N229" s="62"/>
      <c r="O229" s="62"/>
      <c r="P229" s="62"/>
      <c r="Q229" s="62"/>
      <c r="R229" s="62"/>
      <c r="S229" s="62"/>
    </row>
    <row r="230" spans="2:19" ht="18" hidden="1" customHeight="1" x14ac:dyDescent="0.35">
      <c r="B230" s="250">
        <f>IF(K230&gt;0,B220+1,B220)</f>
        <v>2</v>
      </c>
      <c r="C230" s="425"/>
      <c r="D230" s="251" t="s">
        <v>206</v>
      </c>
      <c r="E230" s="261"/>
      <c r="F230" s="291">
        <f>IF(K230&gt;1,1,0)</f>
        <v>0</v>
      </c>
      <c r="G230" s="261"/>
      <c r="H230" s="275"/>
      <c r="I230" s="275"/>
      <c r="J230" s="301">
        <f>K230</f>
        <v>0</v>
      </c>
      <c r="K230" s="253">
        <f>SUM(I231:I234)</f>
        <v>0</v>
      </c>
      <c r="L230" s="63"/>
      <c r="M230" s="62" t="str">
        <f>IF(K230&gt;0.1,"MOSTRAR","OCULTAR")</f>
        <v>OCULTAR</v>
      </c>
      <c r="N230" s="62"/>
      <c r="O230" s="62"/>
      <c r="P230" s="62"/>
      <c r="Q230" s="62"/>
      <c r="R230" s="62"/>
      <c r="S230" s="62"/>
    </row>
    <row r="231" spans="2:19" ht="9" hidden="1" customHeight="1" x14ac:dyDescent="0.35">
      <c r="B231" s="230"/>
      <c r="C231" s="423"/>
      <c r="D231" s="260"/>
      <c r="E231" s="257"/>
      <c r="F231" s="257"/>
      <c r="G231" s="257"/>
      <c r="H231" s="276"/>
      <c r="I231" s="276"/>
      <c r="J231" s="282"/>
      <c r="K231" s="280"/>
      <c r="L231" s="57"/>
      <c r="M231" s="62" t="str">
        <f t="shared" si="20"/>
        <v>OCULTAR</v>
      </c>
      <c r="N231" s="62"/>
      <c r="O231" s="62"/>
      <c r="P231" s="62"/>
      <c r="Q231" s="62"/>
      <c r="R231" s="62"/>
      <c r="S231" s="62"/>
    </row>
    <row r="232" spans="2:19" ht="90.75" hidden="1" customHeight="1" x14ac:dyDescent="0.35">
      <c r="B232" s="230"/>
      <c r="C232" s="423"/>
      <c r="D232" s="229" t="s">
        <v>597</v>
      </c>
      <c r="E232" s="225"/>
      <c r="F232" s="268">
        <f>'PRECIO DEL METRAJE'!E235</f>
        <v>0</v>
      </c>
      <c r="G232" s="225" t="s">
        <v>215</v>
      </c>
      <c r="H232" s="272">
        <f>'PRECIO DEL METRAJE'!K235</f>
        <v>134.19999999999999</v>
      </c>
      <c r="I232" s="272">
        <f>H232*F232</f>
        <v>0</v>
      </c>
      <c r="J232" s="295"/>
      <c r="K232" s="280"/>
      <c r="M232" s="62" t="str">
        <f t="shared" si="20"/>
        <v>OCULTAR</v>
      </c>
      <c r="N232" s="62"/>
      <c r="O232" s="62"/>
      <c r="P232" s="62"/>
      <c r="Q232" s="62"/>
      <c r="R232" s="62"/>
      <c r="S232" s="62"/>
    </row>
    <row r="233" spans="2:19" ht="79.5" hidden="1" customHeight="1" x14ac:dyDescent="0.35">
      <c r="B233" s="230"/>
      <c r="C233" s="423"/>
      <c r="D233" s="229" t="s">
        <v>598</v>
      </c>
      <c r="E233" s="225"/>
      <c r="F233" s="268">
        <f>'PRECIO DEL METRAJE'!E236</f>
        <v>0</v>
      </c>
      <c r="G233" s="225" t="s">
        <v>215</v>
      </c>
      <c r="H233" s="272">
        <f>'PRECIO DEL METRAJE'!K236</f>
        <v>246.7</v>
      </c>
      <c r="I233" s="272">
        <f>H233*F233</f>
        <v>0</v>
      </c>
      <c r="J233" s="295"/>
      <c r="K233" s="280"/>
      <c r="M233" s="62" t="str">
        <f t="shared" si="20"/>
        <v>OCULTAR</v>
      </c>
      <c r="N233" s="62"/>
      <c r="O233" s="62"/>
      <c r="P233" s="62"/>
      <c r="Q233" s="62"/>
      <c r="R233" s="62"/>
      <c r="S233" s="62"/>
    </row>
    <row r="234" spans="2:19" ht="18" hidden="1" customHeight="1" x14ac:dyDescent="0.35">
      <c r="B234" s="230"/>
      <c r="C234" s="423"/>
      <c r="D234" s="229"/>
      <c r="E234" s="225"/>
      <c r="F234" s="257">
        <f>IF(K235&gt;1,1,0)</f>
        <v>0</v>
      </c>
      <c r="G234" s="257"/>
      <c r="H234" s="272"/>
      <c r="I234" s="272"/>
      <c r="J234" s="295"/>
      <c r="K234" s="280"/>
      <c r="M234" s="62" t="str">
        <f t="shared" si="20"/>
        <v>OCULTAR</v>
      </c>
      <c r="N234" s="62"/>
      <c r="O234" s="62"/>
      <c r="P234" s="62"/>
      <c r="Q234" s="62"/>
      <c r="R234" s="62"/>
      <c r="S234" s="62"/>
    </row>
    <row r="235" spans="2:19" ht="18" hidden="1" customHeight="1" x14ac:dyDescent="0.35">
      <c r="B235" s="250">
        <f>IF(K235&gt;0,B230+1,B230)</f>
        <v>2</v>
      </c>
      <c r="C235" s="425"/>
      <c r="D235" s="251" t="s">
        <v>209</v>
      </c>
      <c r="E235" s="261"/>
      <c r="F235" s="291">
        <f>IF(K235&gt;1,1,0)</f>
        <v>0</v>
      </c>
      <c r="G235" s="261"/>
      <c r="H235" s="275"/>
      <c r="I235" s="275"/>
      <c r="J235" s="301">
        <f>K235</f>
        <v>0</v>
      </c>
      <c r="K235" s="253">
        <f>SUM(I236:I239)</f>
        <v>0</v>
      </c>
      <c r="L235" s="63"/>
      <c r="M235" s="62" t="str">
        <f>IF(K235&gt;0.1,"MOSTRAR","OCULTAR")</f>
        <v>OCULTAR</v>
      </c>
      <c r="N235" s="62"/>
      <c r="O235" s="62"/>
      <c r="P235" s="62"/>
      <c r="Q235" s="62"/>
      <c r="R235" s="62"/>
      <c r="S235" s="62"/>
    </row>
    <row r="236" spans="2:19" ht="18" hidden="1" customHeight="1" x14ac:dyDescent="0.35">
      <c r="B236" s="230"/>
      <c r="C236" s="423"/>
      <c r="D236" s="229" t="s">
        <v>599</v>
      </c>
      <c r="E236" s="225"/>
      <c r="F236" s="268">
        <f>'PRECIO DEL METRAJE'!E239</f>
        <v>0</v>
      </c>
      <c r="G236" s="225" t="s">
        <v>414</v>
      </c>
      <c r="H236" s="272">
        <f>'PRECIO DEL METRAJE'!K239</f>
        <v>0</v>
      </c>
      <c r="I236" s="272">
        <f>H236*F236</f>
        <v>0</v>
      </c>
      <c r="J236" s="270"/>
      <c r="K236" s="280"/>
      <c r="M236" s="62" t="str">
        <f t="shared" ref="M236" si="21">IF(F236&gt;0.1,"MOSTRAR","OCULTAR")</f>
        <v>OCULTAR</v>
      </c>
      <c r="N236" s="62"/>
      <c r="O236" s="62"/>
      <c r="P236" s="62"/>
      <c r="Q236" s="62"/>
      <c r="R236" s="62"/>
      <c r="S236" s="62"/>
    </row>
    <row r="237" spans="2:19" ht="18" hidden="1" customHeight="1" x14ac:dyDescent="0.35">
      <c r="B237" s="230"/>
      <c r="C237" s="423"/>
      <c r="D237" s="229" t="s">
        <v>599</v>
      </c>
      <c r="E237" s="225"/>
      <c r="F237" s="268">
        <f>'PRECIO DEL METRAJE'!E240</f>
        <v>0</v>
      </c>
      <c r="G237" s="225" t="s">
        <v>414</v>
      </c>
      <c r="H237" s="272">
        <f>'PRECIO DEL METRAJE'!K240</f>
        <v>0</v>
      </c>
      <c r="I237" s="272">
        <f>H237*F237</f>
        <v>0</v>
      </c>
      <c r="J237" s="270"/>
      <c r="K237" s="280"/>
      <c r="M237" s="62" t="str">
        <f t="shared" ref="M237:M238" si="22">IF(F237&gt;0.1,"MOSTRAR","OCULTAR")</f>
        <v>OCULTAR</v>
      </c>
      <c r="N237" s="62"/>
      <c r="O237" s="62"/>
      <c r="P237" s="62"/>
      <c r="Q237" s="62"/>
      <c r="R237" s="62"/>
      <c r="S237" s="62"/>
    </row>
    <row r="238" spans="2:19" ht="18" hidden="1" customHeight="1" x14ac:dyDescent="0.35">
      <c r="B238" s="230"/>
      <c r="C238" s="423"/>
      <c r="D238" s="229" t="s">
        <v>599</v>
      </c>
      <c r="E238" s="225"/>
      <c r="F238" s="268">
        <f>'PRECIO DEL METRAJE'!E241</f>
        <v>0</v>
      </c>
      <c r="G238" s="225" t="s">
        <v>414</v>
      </c>
      <c r="H238" s="272">
        <f>'PRECIO DEL METRAJE'!K241</f>
        <v>0</v>
      </c>
      <c r="I238" s="272">
        <f>H238*F238</f>
        <v>0</v>
      </c>
      <c r="J238" s="270"/>
      <c r="K238" s="280"/>
      <c r="M238" s="62" t="str">
        <f t="shared" si="22"/>
        <v>OCULTAR</v>
      </c>
      <c r="N238" s="62"/>
      <c r="O238" s="62"/>
      <c r="P238" s="62"/>
      <c r="Q238" s="62"/>
      <c r="R238" s="62"/>
      <c r="S238" s="62"/>
    </row>
    <row r="239" spans="2:19" ht="18" hidden="1" customHeight="1" x14ac:dyDescent="0.35">
      <c r="B239" s="230"/>
      <c r="C239" s="423"/>
      <c r="D239" s="229" t="s">
        <v>599</v>
      </c>
      <c r="E239" s="225"/>
      <c r="F239" s="268">
        <f>'PRECIO DEL METRAJE'!E242</f>
        <v>0</v>
      </c>
      <c r="G239" s="225" t="s">
        <v>414</v>
      </c>
      <c r="H239" s="272">
        <f>'PRECIO DEL METRAJE'!K242</f>
        <v>0</v>
      </c>
      <c r="I239" s="272">
        <f>H239*F239</f>
        <v>0</v>
      </c>
      <c r="J239" s="270"/>
      <c r="K239" s="280"/>
      <c r="M239" s="62" t="str">
        <f t="shared" si="20"/>
        <v>OCULTAR</v>
      </c>
      <c r="N239" s="62"/>
      <c r="O239" s="62"/>
      <c r="P239" s="62"/>
      <c r="Q239" s="62"/>
      <c r="R239" s="62"/>
      <c r="S239" s="62"/>
    </row>
    <row r="240" spans="2:19" ht="18" hidden="1" customHeight="1" x14ac:dyDescent="0.35">
      <c r="B240" s="230"/>
      <c r="C240" s="423"/>
      <c r="D240" s="229"/>
      <c r="E240" s="225"/>
      <c r="F240" s="268"/>
      <c r="G240" s="225"/>
      <c r="H240" s="270"/>
      <c r="I240" s="272"/>
      <c r="J240" s="270"/>
      <c r="K240" s="280"/>
      <c r="M240" s="62" t="str">
        <f t="shared" si="20"/>
        <v>OCULTAR</v>
      </c>
      <c r="N240" s="62"/>
      <c r="O240" s="62"/>
      <c r="P240" s="62"/>
      <c r="Q240" s="62"/>
      <c r="R240" s="62"/>
      <c r="S240" s="62"/>
    </row>
    <row r="241" spans="1:30" s="58" customFormat="1" ht="14.5" customHeight="1" thickBot="1" x14ac:dyDescent="0.4">
      <c r="A241" s="55"/>
      <c r="B241" s="255"/>
      <c r="C241" s="429"/>
      <c r="D241" s="283"/>
      <c r="E241" s="263"/>
      <c r="F241" s="296">
        <v>1</v>
      </c>
      <c r="G241" s="263"/>
      <c r="H241" s="284"/>
      <c r="I241" s="297"/>
      <c r="J241" s="298" t="s">
        <v>600</v>
      </c>
      <c r="K241" s="299">
        <f>SUM(K5:K240)</f>
        <v>1473.96</v>
      </c>
      <c r="M241" s="62" t="str">
        <f>IF(K241&gt;0.1,"MOSTRAR","OCULTAR")</f>
        <v>MOSTRAR</v>
      </c>
      <c r="N241" s="62"/>
      <c r="O241" s="62"/>
      <c r="P241" s="62"/>
      <c r="Q241" s="62"/>
      <c r="R241" s="62"/>
      <c r="S241" s="62"/>
      <c r="T241" s="62"/>
      <c r="U241" s="62"/>
      <c r="V241" s="55"/>
      <c r="W241" s="55"/>
      <c r="X241" s="55"/>
      <c r="Y241" s="55"/>
      <c r="Z241" s="55"/>
      <c r="AA241" s="55"/>
      <c r="AB241" s="55"/>
      <c r="AC241" s="55"/>
      <c r="AD241" s="55"/>
    </row>
    <row r="242" spans="1:30" s="58" customFormat="1" ht="18" customHeight="1" thickTop="1" x14ac:dyDescent="0.35">
      <c r="A242" s="55"/>
      <c r="B242" s="247"/>
      <c r="C242" s="246"/>
      <c r="D242" s="246"/>
      <c r="E242" s="246"/>
      <c r="F242" s="256">
        <v>1</v>
      </c>
      <c r="G242" s="247"/>
      <c r="H242" s="246"/>
      <c r="I242" s="246"/>
      <c r="J242" s="246"/>
      <c r="K242" s="246"/>
      <c r="M242" s="62" t="str">
        <f t="shared" si="20"/>
        <v>MOSTRAR</v>
      </c>
      <c r="N242" s="62"/>
      <c r="O242" s="62"/>
      <c r="P242" s="62"/>
      <c r="Q242" s="62"/>
      <c r="R242" s="62"/>
      <c r="S242" s="62"/>
      <c r="T242" s="62"/>
      <c r="U242" s="62"/>
      <c r="V242" s="55"/>
      <c r="W242" s="55"/>
      <c r="X242" s="55"/>
      <c r="Y242" s="55"/>
      <c r="Z242" s="55"/>
      <c r="AA242" s="55"/>
      <c r="AB242" s="55"/>
      <c r="AC242" s="55"/>
      <c r="AD242" s="55"/>
    </row>
    <row r="243" spans="1:30" s="58" customFormat="1" ht="18" customHeight="1" x14ac:dyDescent="0.35">
      <c r="A243" s="55"/>
      <c r="B243" s="62"/>
      <c r="C243" s="55"/>
      <c r="D243" s="55"/>
      <c r="E243" s="55"/>
      <c r="F243" s="55"/>
      <c r="G243" s="62"/>
      <c r="N243" s="59"/>
      <c r="S243" s="55"/>
      <c r="T243" s="62"/>
      <c r="U243" s="62"/>
      <c r="V243" s="55"/>
      <c r="W243" s="55"/>
      <c r="X243" s="55"/>
      <c r="Y243" s="55"/>
      <c r="Z243" s="55"/>
      <c r="AA243" s="55"/>
      <c r="AB243" s="55"/>
      <c r="AC243" s="55"/>
      <c r="AD243" s="55"/>
    </row>
    <row r="244" spans="1:30" s="58" customFormat="1" ht="18" customHeight="1" x14ac:dyDescent="0.35">
      <c r="A244" s="55"/>
      <c r="B244" s="62"/>
      <c r="C244" s="55"/>
      <c r="D244" s="55"/>
      <c r="E244" s="635" t="s">
        <v>601</v>
      </c>
      <c r="F244" s="635"/>
      <c r="G244" s="635"/>
      <c r="H244" s="635"/>
      <c r="I244" s="58">
        <f>SUBTOTAL(109,I5:I241)</f>
        <v>1473.96</v>
      </c>
      <c r="J244" s="58">
        <f>SUM(J6:J240)</f>
        <v>1473.96</v>
      </c>
      <c r="N244" s="59"/>
      <c r="S244" s="55"/>
      <c r="T244" s="62"/>
      <c r="U244" s="62"/>
      <c r="V244" s="55"/>
      <c r="W244" s="55"/>
      <c r="X244" s="55"/>
      <c r="Y244" s="55"/>
      <c r="Z244" s="55"/>
      <c r="AA244" s="55"/>
      <c r="AB244" s="55"/>
      <c r="AC244" s="55"/>
      <c r="AD244" s="55"/>
    </row>
    <row r="245" spans="1:30" s="58" customFormat="1" ht="18" customHeight="1" x14ac:dyDescent="0.35">
      <c r="A245" s="55"/>
      <c r="B245" s="62"/>
      <c r="C245" s="55"/>
      <c r="D245" s="55"/>
      <c r="E245" s="635" t="s">
        <v>602</v>
      </c>
      <c r="F245" s="635"/>
      <c r="G245" s="635"/>
      <c r="H245" s="635"/>
      <c r="I245" s="58">
        <f>SUM(I5:I241)</f>
        <v>1749.9200000000003</v>
      </c>
      <c r="N245" s="59"/>
      <c r="S245" s="55"/>
      <c r="T245" s="62"/>
      <c r="U245" s="62"/>
      <c r="V245" s="55"/>
      <c r="W245" s="55"/>
      <c r="X245" s="55"/>
      <c r="Y245" s="55"/>
      <c r="Z245" s="55"/>
      <c r="AA245" s="55"/>
      <c r="AB245" s="55"/>
      <c r="AC245" s="55"/>
      <c r="AD245" s="55"/>
    </row>
    <row r="246" spans="1:30" s="58" customFormat="1" ht="18" customHeight="1" x14ac:dyDescent="0.35">
      <c r="A246" s="55"/>
      <c r="B246" s="62"/>
      <c r="C246" s="55"/>
      <c r="D246" s="55"/>
      <c r="E246" s="635" t="s">
        <v>603</v>
      </c>
      <c r="F246" s="635"/>
      <c r="G246" s="635"/>
      <c r="H246" s="635"/>
      <c r="I246" s="58">
        <f>'PRECIO DEL METRAJE'!M250</f>
        <v>1473.9600000000003</v>
      </c>
      <c r="N246" s="59"/>
      <c r="S246" s="55"/>
      <c r="T246" s="62"/>
      <c r="U246" s="62"/>
      <c r="V246" s="55"/>
      <c r="W246" s="55"/>
      <c r="X246" s="55"/>
      <c r="Y246" s="55"/>
      <c r="Z246" s="55"/>
      <c r="AA246" s="55"/>
      <c r="AB246" s="55"/>
      <c r="AC246" s="55"/>
      <c r="AD246" s="55"/>
    </row>
    <row r="247" spans="1:30" s="58" customFormat="1" ht="18" customHeight="1" x14ac:dyDescent="0.35">
      <c r="A247" s="55"/>
      <c r="B247" s="62"/>
      <c r="C247" s="55"/>
      <c r="D247" s="55"/>
      <c r="E247" s="55"/>
      <c r="F247" s="55"/>
      <c r="G247" s="62"/>
      <c r="N247" s="59"/>
      <c r="S247" s="55"/>
      <c r="T247" s="62"/>
      <c r="U247" s="62"/>
      <c r="V247" s="55"/>
      <c r="W247" s="55"/>
      <c r="X247" s="55"/>
      <c r="Y247" s="55"/>
      <c r="Z247" s="55"/>
      <c r="AA247" s="55"/>
      <c r="AB247" s="55"/>
      <c r="AC247" s="55"/>
      <c r="AD247" s="55"/>
    </row>
    <row r="248" spans="1:30" s="58" customFormat="1" ht="18" customHeight="1" x14ac:dyDescent="0.35">
      <c r="A248" s="55"/>
      <c r="B248" s="62"/>
      <c r="C248" s="55"/>
      <c r="D248" s="55"/>
      <c r="E248" s="55"/>
      <c r="F248" s="55"/>
      <c r="G248" s="62"/>
      <c r="N248" s="59"/>
      <c r="S248" s="55"/>
      <c r="T248" s="62"/>
      <c r="U248" s="62"/>
      <c r="V248" s="55"/>
      <c r="W248" s="55"/>
      <c r="X248" s="55"/>
      <c r="Y248" s="55"/>
      <c r="Z248" s="55"/>
      <c r="AA248" s="55"/>
      <c r="AB248" s="55"/>
      <c r="AC248" s="55"/>
      <c r="AD248" s="55"/>
    </row>
    <row r="249" spans="1:30" s="58" customFormat="1" ht="18" customHeight="1" x14ac:dyDescent="0.35">
      <c r="A249" s="55"/>
      <c r="B249" s="62"/>
      <c r="C249" s="55"/>
      <c r="D249" s="55"/>
      <c r="E249" s="55"/>
      <c r="F249" s="55"/>
      <c r="G249" s="62"/>
      <c r="N249" s="59"/>
      <c r="S249" s="55"/>
      <c r="T249" s="62"/>
      <c r="U249" s="62"/>
      <c r="V249" s="55"/>
      <c r="W249" s="55"/>
      <c r="X249" s="55"/>
      <c r="Y249" s="55"/>
      <c r="Z249" s="55"/>
      <c r="AA249" s="55"/>
      <c r="AB249" s="55"/>
      <c r="AC249" s="55"/>
      <c r="AD249" s="55"/>
    </row>
    <row r="250" spans="1:30" s="58" customFormat="1" ht="18" customHeight="1" x14ac:dyDescent="0.35">
      <c r="A250" s="55"/>
      <c r="B250" s="62"/>
      <c r="C250" s="55"/>
      <c r="D250" s="55"/>
      <c r="E250" s="55"/>
      <c r="F250" s="55"/>
      <c r="G250" s="62"/>
      <c r="N250" s="59"/>
      <c r="S250" s="55"/>
      <c r="T250" s="62"/>
      <c r="U250" s="62"/>
      <c r="V250" s="55"/>
      <c r="W250" s="55"/>
      <c r="X250" s="55"/>
      <c r="Y250" s="55"/>
      <c r="Z250" s="55"/>
      <c r="AA250" s="55"/>
      <c r="AB250" s="55"/>
      <c r="AC250" s="55"/>
      <c r="AD250" s="55"/>
    </row>
    <row r="251" spans="1:30" s="58" customFormat="1" ht="18" customHeight="1" x14ac:dyDescent="0.35">
      <c r="A251" s="55"/>
      <c r="B251" s="62"/>
      <c r="C251" s="55"/>
      <c r="D251" s="55"/>
      <c r="E251" s="55"/>
      <c r="F251" s="55"/>
      <c r="G251" s="62"/>
      <c r="N251" s="59"/>
      <c r="S251" s="55"/>
      <c r="T251" s="62"/>
      <c r="U251" s="62"/>
      <c r="V251" s="55"/>
      <c r="W251" s="55"/>
      <c r="X251" s="55"/>
      <c r="Y251" s="55"/>
      <c r="Z251" s="55"/>
      <c r="AA251" s="55"/>
      <c r="AB251" s="55"/>
      <c r="AC251" s="55"/>
      <c r="AD251" s="55"/>
    </row>
    <row r="252" spans="1:30" s="58" customFormat="1" ht="18" customHeight="1" x14ac:dyDescent="0.35">
      <c r="A252" s="55"/>
      <c r="B252" s="62"/>
      <c r="C252" s="55"/>
      <c r="D252" s="55"/>
      <c r="E252" s="55"/>
      <c r="F252" s="55"/>
      <c r="G252" s="62"/>
      <c r="N252" s="59"/>
      <c r="S252" s="55"/>
      <c r="T252" s="62"/>
      <c r="U252" s="62"/>
      <c r="V252" s="55"/>
      <c r="W252" s="55"/>
      <c r="X252" s="55"/>
      <c r="Y252" s="55"/>
      <c r="Z252" s="55"/>
      <c r="AA252" s="55"/>
      <c r="AB252" s="55"/>
      <c r="AC252" s="55"/>
      <c r="AD252" s="55"/>
    </row>
    <row r="253" spans="1:30" s="58" customFormat="1" ht="18" customHeight="1" x14ac:dyDescent="0.35">
      <c r="A253" s="55"/>
      <c r="B253" s="62"/>
      <c r="C253" s="55"/>
      <c r="D253" s="55"/>
      <c r="E253" s="55"/>
      <c r="F253" s="55"/>
      <c r="G253" s="62"/>
      <c r="N253" s="59"/>
      <c r="S253" s="55"/>
      <c r="T253" s="62"/>
      <c r="U253" s="62"/>
      <c r="V253" s="55"/>
      <c r="W253" s="55"/>
      <c r="X253" s="55"/>
      <c r="Y253" s="55"/>
      <c r="Z253" s="55"/>
      <c r="AA253" s="55"/>
      <c r="AB253" s="55"/>
      <c r="AC253" s="55"/>
      <c r="AD253" s="55"/>
    </row>
    <row r="254" spans="1:30" s="58" customFormat="1" ht="18" customHeight="1" x14ac:dyDescent="0.35">
      <c r="A254" s="55"/>
      <c r="B254" s="62"/>
      <c r="C254" s="55"/>
      <c r="D254" s="55"/>
      <c r="E254" s="55"/>
      <c r="F254" s="55"/>
      <c r="G254" s="62"/>
      <c r="N254" s="59"/>
      <c r="S254" s="55"/>
      <c r="T254" s="62"/>
      <c r="U254" s="62"/>
      <c r="V254" s="55"/>
      <c r="W254" s="55"/>
      <c r="X254" s="55"/>
      <c r="Y254" s="55"/>
      <c r="Z254" s="55"/>
      <c r="AA254" s="55"/>
      <c r="AB254" s="55"/>
      <c r="AC254" s="55"/>
      <c r="AD254" s="55"/>
    </row>
  </sheetData>
  <autoFilter ref="B3:M242" xr:uid="{AB38D4DB-40D7-4223-B256-7AF580F2057E}">
    <filterColumn colId="11">
      <filters>
        <filter val="MOSTRAR"/>
      </filters>
    </filterColumn>
  </autoFilter>
  <mergeCells count="8">
    <mergeCell ref="E244:H244"/>
    <mergeCell ref="E245:H245"/>
    <mergeCell ref="E246:H246"/>
    <mergeCell ref="B2:D2"/>
    <mergeCell ref="B1:J1"/>
    <mergeCell ref="F2:G2"/>
    <mergeCell ref="C179:C183"/>
    <mergeCell ref="C122:C123"/>
  </mergeCells>
  <phoneticPr fontId="20" type="noConversion"/>
  <conditionalFormatting sqref="M4:M6 M56 M80:M81">
    <cfRule type="expression" dxfId="93" priority="150">
      <formula>F10&gt;1</formula>
    </cfRule>
    <cfRule type="expression" dxfId="92" priority="151">
      <formula>F8&gt;1</formula>
    </cfRule>
  </conditionalFormatting>
  <conditionalFormatting sqref="M4:M120">
    <cfRule type="expression" dxfId="91" priority="53">
      <formula>$F$8&gt;1</formula>
    </cfRule>
    <cfRule type="cellIs" dxfId="90" priority="55" operator="greaterThan">
      <formula>"0.5"</formula>
    </cfRule>
    <cfRule type="expression" dxfId="89" priority="56">
      <formula>$F$8&gt;0.5</formula>
    </cfRule>
  </conditionalFormatting>
  <conditionalFormatting sqref="M4:M242">
    <cfRule type="cellIs" dxfId="88" priority="33" operator="equal">
      <formula>"OCULTAR"</formula>
    </cfRule>
    <cfRule type="cellIs" dxfId="87" priority="34" operator="equal">
      <formula>"MOSTRAR"</formula>
    </cfRule>
    <cfRule type="expression" dxfId="86" priority="35">
      <formula>$F$8&gt;1</formula>
    </cfRule>
    <cfRule type="expression" priority="37">
      <formula>$I$8&gt;0.5</formula>
    </cfRule>
  </conditionalFormatting>
  <conditionalFormatting sqref="M7:M27">
    <cfRule type="expression" dxfId="85" priority="171">
      <formula>#REF!&gt;1</formula>
    </cfRule>
  </conditionalFormatting>
  <conditionalFormatting sqref="M13:M18 M28:M38">
    <cfRule type="expression" dxfId="84" priority="25">
      <formula>F24&gt;1</formula>
    </cfRule>
  </conditionalFormatting>
  <conditionalFormatting sqref="M16">
    <cfRule type="containsText" dxfId="83" priority="11" operator="containsText" text="OCULTAR">
      <formula>NOT(ISERROR(SEARCH("OCULTAR",M16)))</formula>
    </cfRule>
    <cfRule type="containsText" dxfId="82" priority="12" operator="containsText" text="MOSTRAR">
      <formula>NOT(ISERROR(SEARCH("MOSTRAR",M16)))</formula>
    </cfRule>
  </conditionalFormatting>
  <conditionalFormatting sqref="M20">
    <cfRule type="expression" dxfId="81" priority="272">
      <formula>F30&gt;1</formula>
    </cfRule>
  </conditionalFormatting>
  <conditionalFormatting sqref="M29:M38">
    <cfRule type="expression" dxfId="80" priority="1">
      <formula>#REF!&gt;1</formula>
    </cfRule>
  </conditionalFormatting>
  <conditionalFormatting sqref="M39:M48">
    <cfRule type="expression" dxfId="79" priority="220">
      <formula>#REF!&gt;1</formula>
    </cfRule>
  </conditionalFormatting>
  <conditionalFormatting sqref="M40">
    <cfRule type="expression" dxfId="78" priority="142">
      <formula>F45&gt;1</formula>
    </cfRule>
  </conditionalFormatting>
  <conditionalFormatting sqref="M46:M47">
    <cfRule type="expression" dxfId="77" priority="31">
      <formula>F53&gt;1</formula>
    </cfRule>
    <cfRule type="expression" dxfId="76" priority="32">
      <formula>F51&gt;1</formula>
    </cfRule>
  </conditionalFormatting>
  <conditionalFormatting sqref="M49:M55">
    <cfRule type="expression" dxfId="75" priority="69">
      <formula>F61&gt;1</formula>
    </cfRule>
    <cfRule type="expression" dxfId="74" priority="70">
      <formula>F59&gt;1</formula>
    </cfRule>
  </conditionalFormatting>
  <conditionalFormatting sqref="M57:M58">
    <cfRule type="expression" dxfId="73" priority="106">
      <formula>F62&gt;1</formula>
    </cfRule>
  </conditionalFormatting>
  <conditionalFormatting sqref="M57:M79">
    <cfRule type="expression" dxfId="72" priority="52">
      <formula>F64&gt;1</formula>
    </cfRule>
  </conditionalFormatting>
  <conditionalFormatting sqref="M78">
    <cfRule type="expression" dxfId="71" priority="61">
      <formula>F83&gt;1</formula>
    </cfRule>
  </conditionalFormatting>
  <conditionalFormatting sqref="M82:M120">
    <cfRule type="expression" dxfId="70" priority="141">
      <formula>F89&gt;1</formula>
    </cfRule>
  </conditionalFormatting>
  <conditionalFormatting sqref="M121:M242">
    <cfRule type="expression" dxfId="69" priority="36">
      <formula>$F$8&gt;1</formula>
    </cfRule>
    <cfRule type="cellIs" dxfId="68" priority="38" operator="greaterThan">
      <formula>"0.5"</formula>
    </cfRule>
    <cfRule type="expression" dxfId="67" priority="39">
      <formula>$F$8&gt;0.5</formula>
    </cfRule>
    <cfRule type="expression" dxfId="66" priority="40">
      <formula>F128&gt;1</formula>
    </cfRule>
  </conditionalFormatting>
  <pageMargins left="0.70866141732283472" right="0.70866141732283472" top="0.74803149606299213" bottom="0.74803149606299213" header="0.31496062992125984" footer="0.31496062992125984"/>
  <pageSetup paperSize="8" scale="90" orientation="landscape" r:id="rId1"/>
  <ignoredErrors>
    <ignoredError sqref="F159 F56:F57 I58 K241" evalError="1"/>
    <ignoredError sqref="M239:M244 M7 M5 M88:M120 M146 M186:M235 M122:M143 M148:M183" formula="1"/>
  </ignoredError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86560-17A8-4C1C-AA57-1A7D87036694}">
  <dimension ref="A1:AD254"/>
  <sheetViews>
    <sheetView showGridLines="0" zoomScale="93" zoomScaleNormal="93" workbookViewId="0">
      <pane ySplit="4" topLeftCell="A5" activePane="bottomLeft" state="frozen"/>
      <selection pane="bottomLeft" activeCell="E12" sqref="E12"/>
    </sheetView>
  </sheetViews>
  <sheetFormatPr baseColWidth="10" defaultColWidth="11.36328125" defaultRowHeight="18" customHeight="1" x14ac:dyDescent="0.35"/>
  <cols>
    <col min="1" max="1" width="5.36328125" style="55" customWidth="1"/>
    <col min="2" max="2" width="7" style="55" customWidth="1"/>
    <col min="3" max="3" width="15.54296875" style="55" customWidth="1"/>
    <col min="4" max="4" width="71.54296875" style="55" customWidth="1"/>
    <col min="5" max="5" width="13" style="55" customWidth="1"/>
    <col min="6" max="6" width="11.7265625" style="55" customWidth="1"/>
    <col min="7" max="7" width="9" style="62" bestFit="1" customWidth="1"/>
    <col min="8" max="8" width="12.1796875" style="58" customWidth="1"/>
    <col min="9" max="9" width="13.36328125" style="58" customWidth="1"/>
    <col min="10" max="10" width="13.54296875" style="58" customWidth="1"/>
    <col min="11" max="11" width="17.81640625" style="58" customWidth="1"/>
    <col min="12" max="12" width="4" style="58" customWidth="1"/>
    <col min="13" max="13" width="16.54296875" style="58" customWidth="1"/>
    <col min="14" max="14" width="14.54296875" style="59" customWidth="1"/>
    <col min="15" max="15" width="29.54296875" style="58" customWidth="1"/>
    <col min="16" max="16" width="4.36328125" style="58" customWidth="1"/>
    <col min="17" max="17" width="13.36328125" style="58" customWidth="1"/>
    <col min="18" max="18" width="16.1796875" style="58" customWidth="1"/>
    <col min="19" max="19" width="2.81640625" style="55" customWidth="1"/>
    <col min="20" max="20" width="4.54296875" style="62" bestFit="1" customWidth="1"/>
    <col min="21" max="21" width="13.81640625" style="62" customWidth="1"/>
    <col min="22" max="22" width="11.36328125" style="55"/>
    <col min="23" max="24" width="13.36328125" style="55" bestFit="1" customWidth="1"/>
    <col min="25" max="16384" width="11.36328125" style="55"/>
  </cols>
  <sheetData>
    <row r="1" spans="2:24" ht="18" customHeight="1" x14ac:dyDescent="0.35">
      <c r="B1" s="638"/>
      <c r="C1" s="638"/>
      <c r="D1" s="638"/>
      <c r="E1" s="638"/>
      <c r="F1" s="638"/>
      <c r="G1" s="638"/>
      <c r="H1" s="638"/>
      <c r="I1" s="638"/>
      <c r="J1" s="638"/>
      <c r="K1" s="62"/>
    </row>
    <row r="2" spans="2:24" ht="55.5" customHeight="1" x14ac:dyDescent="0.35">
      <c r="B2" s="636" t="s">
        <v>499</v>
      </c>
      <c r="C2" s="637"/>
      <c r="D2" s="637"/>
      <c r="E2" s="226"/>
      <c r="F2" s="639"/>
      <c r="G2" s="639"/>
      <c r="H2" s="225"/>
      <c r="I2" s="225"/>
      <c r="J2" s="225"/>
      <c r="K2" s="225"/>
      <c r="L2" s="186"/>
      <c r="M2" s="234" t="s">
        <v>500</v>
      </c>
      <c r="N2" s="235"/>
      <c r="O2" s="186"/>
      <c r="P2" s="62"/>
      <c r="Q2" s="62"/>
      <c r="R2" s="62"/>
      <c r="S2" s="62"/>
    </row>
    <row r="3" spans="2:24" ht="18" customHeight="1" thickBot="1" x14ac:dyDescent="0.4">
      <c r="M3" s="62"/>
      <c r="N3" s="62"/>
      <c r="O3" s="62"/>
      <c r="P3" s="62"/>
      <c r="Q3" s="62"/>
      <c r="R3" s="62"/>
      <c r="S3" s="62"/>
    </row>
    <row r="4" spans="2:24" ht="27.75" customHeight="1" thickTop="1" thickBot="1" x14ac:dyDescent="0.4">
      <c r="B4" s="232"/>
      <c r="C4" s="468" t="s">
        <v>604</v>
      </c>
      <c r="D4" s="469" t="s">
        <v>605</v>
      </c>
      <c r="E4" s="470" t="s">
        <v>606</v>
      </c>
      <c r="F4" s="470" t="s">
        <v>607</v>
      </c>
      <c r="G4" s="471" t="s">
        <v>608</v>
      </c>
      <c r="H4" s="472" t="s">
        <v>609</v>
      </c>
      <c r="I4" s="472" t="s">
        <v>610</v>
      </c>
      <c r="J4" s="472" t="s">
        <v>611</v>
      </c>
      <c r="K4" s="473" t="s">
        <v>612</v>
      </c>
      <c r="L4" s="57"/>
      <c r="M4" s="62" t="str">
        <f t="shared" ref="M4:M12" si="0">IF(F4&gt;0.1,"MOSTRAR","OCULTAR")</f>
        <v>MOSTRAR</v>
      </c>
      <c r="N4" s="62"/>
      <c r="O4" s="62"/>
      <c r="P4" s="62"/>
      <c r="Q4" s="62"/>
      <c r="R4" s="62"/>
      <c r="S4" s="62"/>
    </row>
    <row r="5" spans="2:24" ht="18" customHeight="1" thickTop="1" x14ac:dyDescent="0.35">
      <c r="B5" s="233" t="s">
        <v>506</v>
      </c>
      <c r="C5" s="302"/>
      <c r="D5" s="56"/>
      <c r="E5" s="56"/>
      <c r="F5" s="264">
        <v>1</v>
      </c>
      <c r="G5" s="257"/>
      <c r="H5" s="184"/>
      <c r="I5" s="182"/>
      <c r="J5" s="57"/>
      <c r="K5" s="245"/>
      <c r="L5" s="57"/>
      <c r="M5" s="62" t="str">
        <f t="shared" si="0"/>
        <v>MOSTRAR</v>
      </c>
      <c r="N5" s="62"/>
      <c r="O5" s="62"/>
      <c r="P5" s="62"/>
      <c r="Q5" s="62"/>
      <c r="R5" s="62"/>
      <c r="S5" s="62"/>
    </row>
    <row r="6" spans="2:24" ht="18" customHeight="1" x14ac:dyDescent="0.35">
      <c r="B6" s="250">
        <f>IF(K6&gt;0,1,0)</f>
        <v>1</v>
      </c>
      <c r="C6" s="252"/>
      <c r="D6" s="251" t="s">
        <v>613</v>
      </c>
      <c r="E6" s="251"/>
      <c r="F6" s="266">
        <f>IF(K6&gt;1,1,0)</f>
        <v>1</v>
      </c>
      <c r="G6" s="252"/>
      <c r="H6" s="252"/>
      <c r="I6" s="252"/>
      <c r="J6" s="252"/>
      <c r="K6" s="253">
        <f>J7+J22+J39+J13+J29</f>
        <v>1198</v>
      </c>
      <c r="L6" s="63"/>
      <c r="M6" s="62" t="str">
        <f>IF(K6&gt;0.1,"MOSTRAR","OCULTAR")</f>
        <v>MOSTRAR</v>
      </c>
      <c r="N6" s="62"/>
      <c r="O6" s="62"/>
      <c r="P6" s="62"/>
      <c r="Q6" s="62"/>
      <c r="R6" s="62"/>
      <c r="S6" s="62"/>
    </row>
    <row r="7" spans="2:24" ht="18" customHeight="1" x14ac:dyDescent="0.35">
      <c r="B7" s="230">
        <f>IF(J7&gt;0,B6+0.1,B6)</f>
        <v>1.1000000000000001</v>
      </c>
      <c r="C7" s="258"/>
      <c r="D7" s="278" t="s">
        <v>614</v>
      </c>
      <c r="E7" s="278"/>
      <c r="F7" s="269">
        <f>IF(J7&gt;1,1,0)</f>
        <v>1</v>
      </c>
      <c r="G7" s="258"/>
      <c r="H7" s="279"/>
      <c r="I7" s="274"/>
      <c r="J7" s="274">
        <f>SUM(I8:I12)</f>
        <v>1198</v>
      </c>
      <c r="K7" s="280"/>
      <c r="M7" s="62" t="str">
        <f>IF(J7&gt;0.1,"MOSTRAR","OCULTAR")</f>
        <v>MOSTRAR</v>
      </c>
      <c r="N7" s="62"/>
      <c r="O7" s="62"/>
      <c r="P7" s="62"/>
      <c r="Q7" s="62"/>
      <c r="R7" s="62"/>
      <c r="S7" s="62"/>
    </row>
    <row r="8" spans="2:24" ht="90" customHeight="1" x14ac:dyDescent="0.35">
      <c r="B8" s="231"/>
      <c r="C8" s="225"/>
      <c r="D8" s="244" t="s">
        <v>941</v>
      </c>
      <c r="E8" s="228" t="s">
        <v>615</v>
      </c>
      <c r="F8" s="268">
        <f>'PRECIO DEL METRAJE'!E9</f>
        <v>0</v>
      </c>
      <c r="G8" s="225" t="s">
        <v>509</v>
      </c>
      <c r="H8" s="272">
        <f>'PRECIO DEL METRAJE'!K9</f>
        <v>81.01700000000001</v>
      </c>
      <c r="I8" s="272">
        <f>'PRECIO DEL METRAJE'!M9</f>
        <v>0</v>
      </c>
      <c r="J8" s="270"/>
      <c r="K8" s="280"/>
      <c r="M8" s="225" t="str">
        <f t="shared" si="0"/>
        <v>OCULTAR</v>
      </c>
      <c r="N8" s="62"/>
      <c r="O8" s="62"/>
      <c r="P8" s="62"/>
      <c r="Q8" s="62"/>
      <c r="R8" s="62"/>
      <c r="S8" s="62"/>
      <c r="X8" s="60"/>
    </row>
    <row r="9" spans="2:24" ht="90" customHeight="1" x14ac:dyDescent="0.35">
      <c r="B9" s="231"/>
      <c r="C9" s="225"/>
      <c r="D9" s="244" t="s">
        <v>942</v>
      </c>
      <c r="E9" s="228" t="s">
        <v>616</v>
      </c>
      <c r="F9" s="268">
        <f>'PRECIO DEL METRAJE'!E10</f>
        <v>0</v>
      </c>
      <c r="G9" s="225" t="s">
        <v>509</v>
      </c>
      <c r="H9" s="272">
        <f>'PRECIO DEL METRAJE'!K10</f>
        <v>102.89999999999999</v>
      </c>
      <c r="I9" s="272">
        <f>'PRECIO DEL METRAJE'!M10</f>
        <v>0</v>
      </c>
      <c r="J9" s="270"/>
      <c r="K9" s="280"/>
      <c r="M9" s="225" t="str">
        <f t="shared" si="0"/>
        <v>OCULTAR</v>
      </c>
      <c r="N9" s="62"/>
      <c r="O9" s="244"/>
      <c r="P9" s="62"/>
      <c r="Q9" s="62"/>
      <c r="R9" s="62"/>
      <c r="S9" s="62"/>
      <c r="X9" s="60"/>
    </row>
    <row r="10" spans="2:24" ht="90" customHeight="1" x14ac:dyDescent="0.35">
      <c r="B10" s="231"/>
      <c r="C10" s="225"/>
      <c r="D10" s="244" t="s">
        <v>943</v>
      </c>
      <c r="E10" s="228" t="s">
        <v>1222</v>
      </c>
      <c r="F10" s="268">
        <f>'PRECIO DEL METRAJE'!E11</f>
        <v>20</v>
      </c>
      <c r="G10" s="225" t="s">
        <v>509</v>
      </c>
      <c r="H10" s="272">
        <f>'PRECIO DEL METRAJE'!K11</f>
        <v>59.9</v>
      </c>
      <c r="I10" s="272">
        <f>'PRECIO DEL METRAJE'!M11</f>
        <v>1198</v>
      </c>
      <c r="J10" s="270"/>
      <c r="K10" s="280"/>
      <c r="M10" s="225" t="str">
        <f t="shared" si="0"/>
        <v>MOSTRAR</v>
      </c>
      <c r="N10" s="62"/>
      <c r="O10" s="62"/>
      <c r="P10" s="62"/>
      <c r="Q10" s="62"/>
      <c r="R10" s="62"/>
      <c r="S10" s="62"/>
      <c r="X10" s="60"/>
    </row>
    <row r="11" spans="2:24" ht="90" customHeight="1" x14ac:dyDescent="0.35">
      <c r="B11" s="231"/>
      <c r="C11" s="225"/>
      <c r="D11" s="244" t="s">
        <v>944</v>
      </c>
      <c r="E11" s="228" t="s">
        <v>1222</v>
      </c>
      <c r="F11" s="268">
        <f>'PRECIO DEL METRAJE'!E12</f>
        <v>0</v>
      </c>
      <c r="G11" s="225" t="s">
        <v>509</v>
      </c>
      <c r="H11" s="272">
        <f>'PRECIO DEL METRAJE'!K12</f>
        <v>63.2</v>
      </c>
      <c r="I11" s="272">
        <f>'PRECIO DEL METRAJE'!M12</f>
        <v>0</v>
      </c>
      <c r="J11" s="270"/>
      <c r="K11" s="280"/>
      <c r="M11" s="225" t="str">
        <f t="shared" si="0"/>
        <v>OCULTAR</v>
      </c>
      <c r="N11" s="62"/>
      <c r="O11" s="62"/>
      <c r="P11" s="62"/>
      <c r="Q11" s="62"/>
      <c r="R11" s="62"/>
      <c r="S11" s="62"/>
      <c r="X11" s="60"/>
    </row>
    <row r="12" spans="2:24" ht="90" customHeight="1" x14ac:dyDescent="0.35">
      <c r="B12" s="231"/>
      <c r="C12" s="225"/>
      <c r="D12" s="244" t="s">
        <v>945</v>
      </c>
      <c r="E12" s="228" t="s">
        <v>1222</v>
      </c>
      <c r="F12" s="268">
        <f>'PRECIO DEL METRAJE'!E13</f>
        <v>0</v>
      </c>
      <c r="G12" s="225" t="s">
        <v>509</v>
      </c>
      <c r="H12" s="272">
        <f>'PRECIO DEL METRAJE'!K13</f>
        <v>69</v>
      </c>
      <c r="I12" s="272">
        <f>'PRECIO DEL METRAJE'!M13</f>
        <v>0</v>
      </c>
      <c r="J12" s="270"/>
      <c r="K12" s="280"/>
      <c r="M12" s="225" t="str">
        <f t="shared" si="0"/>
        <v>OCULTAR</v>
      </c>
      <c r="N12" s="62"/>
      <c r="O12" s="62"/>
      <c r="P12" s="62"/>
      <c r="Q12" s="62"/>
      <c r="R12" s="62"/>
      <c r="S12" s="62"/>
      <c r="X12" s="60"/>
    </row>
    <row r="13" spans="2:24" ht="14.5" x14ac:dyDescent="0.35">
      <c r="B13" s="230"/>
      <c r="C13" s="262"/>
      <c r="D13" s="262" t="s">
        <v>1012</v>
      </c>
      <c r="E13" s="286"/>
      <c r="F13" s="543">
        <f>IF(J13&gt;1,1,0)</f>
        <v>0</v>
      </c>
      <c r="G13" s="259"/>
      <c r="H13" s="259"/>
      <c r="I13" s="259"/>
      <c r="J13" s="277">
        <f>SUM(I14:I21)</f>
        <v>0</v>
      </c>
      <c r="K13" s="280"/>
      <c r="M13" s="62" t="str">
        <f>IF(J13&gt;0.1,"MOSTRAR","OCULTAR")</f>
        <v>OCULTAR</v>
      </c>
      <c r="N13" s="62"/>
      <c r="O13" s="62"/>
      <c r="P13" s="62"/>
      <c r="Q13" s="62"/>
      <c r="R13" s="62"/>
      <c r="S13" s="62"/>
      <c r="X13" s="60"/>
    </row>
    <row r="14" spans="2:24" ht="90" customHeight="1" x14ac:dyDescent="0.35">
      <c r="B14" s="230"/>
      <c r="C14" s="225"/>
      <c r="D14" s="229" t="s">
        <v>618</v>
      </c>
      <c r="E14" s="228"/>
      <c r="F14" s="268">
        <f>'PRECIO DEL METRAJE'!E24</f>
        <v>0</v>
      </c>
      <c r="G14" s="225" t="s">
        <v>512</v>
      </c>
      <c r="H14" s="272">
        <f>'PRECIO DEL METRAJE'!K24</f>
        <v>49.300000000000004</v>
      </c>
      <c r="I14" s="272">
        <f>'PRECIO DEL METRAJE'!M24</f>
        <v>0</v>
      </c>
      <c r="J14" s="270"/>
      <c r="K14" s="280"/>
      <c r="M14" s="225" t="str">
        <f t="shared" ref="M14:M20" si="1">IF(F14&gt;0.1,"MOSTRAR","OCULTAR")</f>
        <v>OCULTAR</v>
      </c>
      <c r="N14" s="62"/>
      <c r="O14" s="62"/>
      <c r="P14" s="62"/>
      <c r="Q14" s="62"/>
      <c r="R14" s="62"/>
      <c r="S14" s="62"/>
      <c r="X14" s="60"/>
    </row>
    <row r="15" spans="2:24" ht="16.5" x14ac:dyDescent="0.35">
      <c r="B15" s="230"/>
      <c r="C15" s="225"/>
      <c r="D15" s="229" t="s">
        <v>619</v>
      </c>
      <c r="E15" s="228"/>
      <c r="F15" s="268">
        <f>'PRECIO DEL METRAJE'!E25</f>
        <v>0</v>
      </c>
      <c r="G15" s="225" t="s">
        <v>512</v>
      </c>
      <c r="H15" s="272">
        <f>'PRECIO DEL METRAJE'!K25</f>
        <v>7.6999999999999993</v>
      </c>
      <c r="I15" s="272">
        <f>'PRECIO DEL METRAJE'!M25</f>
        <v>0</v>
      </c>
      <c r="J15" s="270"/>
      <c r="K15" s="280"/>
      <c r="M15" s="225" t="str">
        <f t="shared" si="1"/>
        <v>OCULTAR</v>
      </c>
      <c r="N15" s="62"/>
      <c r="O15" s="62"/>
      <c r="P15" s="62"/>
      <c r="Q15" s="62"/>
      <c r="R15" s="62"/>
      <c r="S15" s="62"/>
      <c r="X15" s="60"/>
    </row>
    <row r="16" spans="2:24" ht="16.5" x14ac:dyDescent="0.35">
      <c r="B16" s="230"/>
      <c r="C16" s="225"/>
      <c r="D16" s="229" t="s">
        <v>620</v>
      </c>
      <c r="E16" s="228"/>
      <c r="F16" s="268">
        <f>'PRECIO DEL METRAJE'!E26</f>
        <v>0</v>
      </c>
      <c r="G16" s="225" t="s">
        <v>512</v>
      </c>
      <c r="H16" s="272">
        <f>'PRECIO DEL METRAJE'!K26</f>
        <v>1.3</v>
      </c>
      <c r="I16" s="272">
        <f>'PRECIO DEL METRAJE'!M26</f>
        <v>0</v>
      </c>
      <c r="J16" s="270"/>
      <c r="K16" s="280"/>
      <c r="M16" s="225" t="str">
        <f t="shared" si="1"/>
        <v>OCULTAR</v>
      </c>
      <c r="N16" s="62"/>
      <c r="O16" s="62"/>
      <c r="P16" s="62"/>
      <c r="Q16" s="62"/>
      <c r="R16" s="62"/>
      <c r="S16" s="62"/>
      <c r="X16" s="60"/>
    </row>
    <row r="17" spans="2:26" ht="90" customHeight="1" x14ac:dyDescent="0.35">
      <c r="B17" s="230"/>
      <c r="C17" s="225"/>
      <c r="D17" s="229" t="s">
        <v>949</v>
      </c>
      <c r="E17" s="228"/>
      <c r="F17" s="268">
        <f>'PRECIO DEL METRAJE'!E27</f>
        <v>0</v>
      </c>
      <c r="G17" s="225" t="s">
        <v>509</v>
      </c>
      <c r="H17" s="272">
        <f>'PRECIO DEL METRAJE'!K27</f>
        <v>50</v>
      </c>
      <c r="I17" s="272">
        <f>'PRECIO DEL METRAJE'!M27</f>
        <v>0</v>
      </c>
      <c r="J17" s="270"/>
      <c r="K17" s="280"/>
      <c r="M17" s="225" t="str">
        <f t="shared" si="1"/>
        <v>OCULTAR</v>
      </c>
      <c r="N17" s="62"/>
      <c r="O17" s="62"/>
      <c r="P17" s="62"/>
      <c r="Q17" s="62"/>
      <c r="R17" s="62"/>
      <c r="S17" s="62"/>
      <c r="X17" s="60"/>
    </row>
    <row r="18" spans="2:26" ht="90" customHeight="1" x14ac:dyDescent="0.35">
      <c r="B18" s="230"/>
      <c r="C18" s="225"/>
      <c r="D18" s="229" t="s">
        <v>950</v>
      </c>
      <c r="E18" s="228"/>
      <c r="F18" s="268">
        <f>'PRECIO DEL METRAJE'!E28</f>
        <v>0</v>
      </c>
      <c r="G18" s="225" t="s">
        <v>509</v>
      </c>
      <c r="H18" s="272">
        <f>'PRECIO DEL METRAJE'!K28</f>
        <v>63.4</v>
      </c>
      <c r="I18" s="272">
        <f>'PRECIO DEL METRAJE'!M28</f>
        <v>0</v>
      </c>
      <c r="J18" s="270"/>
      <c r="K18" s="280"/>
      <c r="M18" s="225" t="str">
        <f t="shared" si="1"/>
        <v>OCULTAR</v>
      </c>
      <c r="N18" s="62"/>
      <c r="O18" s="62"/>
      <c r="P18" s="62"/>
      <c r="Q18" s="62"/>
      <c r="R18" s="62"/>
      <c r="S18" s="62"/>
      <c r="X18" s="60"/>
    </row>
    <row r="19" spans="2:26" ht="90" customHeight="1" x14ac:dyDescent="0.35">
      <c r="B19" s="230"/>
      <c r="C19" s="225"/>
      <c r="D19" s="229" t="s">
        <v>951</v>
      </c>
      <c r="E19" s="228"/>
      <c r="F19" s="268">
        <f>'PRECIO DEL METRAJE'!E29</f>
        <v>0</v>
      </c>
      <c r="G19" s="225" t="s">
        <v>509</v>
      </c>
      <c r="H19" s="272">
        <f>'PRECIO DEL METRAJE'!K29</f>
        <v>56.7</v>
      </c>
      <c r="I19" s="272">
        <f>'PRECIO DEL METRAJE'!M29</f>
        <v>0</v>
      </c>
      <c r="J19" s="270"/>
      <c r="K19" s="280"/>
      <c r="M19" s="225" t="str">
        <f t="shared" si="1"/>
        <v>OCULTAR</v>
      </c>
      <c r="N19" s="62"/>
      <c r="O19" s="62"/>
      <c r="P19" s="62"/>
      <c r="Q19" s="62"/>
      <c r="R19" s="62"/>
      <c r="S19" s="62"/>
      <c r="X19" s="60"/>
    </row>
    <row r="20" spans="2:26" ht="90" customHeight="1" x14ac:dyDescent="0.35">
      <c r="B20" s="230"/>
      <c r="C20" s="225"/>
      <c r="D20" s="229" t="s">
        <v>952</v>
      </c>
      <c r="E20" s="228"/>
      <c r="F20" s="546">
        <f>'PRECIO DEL METRAJE'!E30</f>
        <v>0</v>
      </c>
      <c r="G20" s="225" t="s">
        <v>509</v>
      </c>
      <c r="H20" s="272">
        <f>'PRECIO DEL METRAJE'!K30</f>
        <v>73.399999999999991</v>
      </c>
      <c r="I20" s="272">
        <f>'PRECIO DEL METRAJE'!M30</f>
        <v>0</v>
      </c>
      <c r="J20" s="270"/>
      <c r="K20" s="280"/>
      <c r="M20" s="225" t="str">
        <f t="shared" si="1"/>
        <v>OCULTAR</v>
      </c>
      <c r="N20" s="62"/>
      <c r="O20" s="62"/>
      <c r="P20" s="62"/>
      <c r="Q20" s="62"/>
      <c r="R20" s="62"/>
      <c r="S20" s="62"/>
      <c r="X20" s="60"/>
    </row>
    <row r="21" spans="2:26" ht="14.5" x14ac:dyDescent="0.35">
      <c r="B21" s="231"/>
      <c r="C21" s="225"/>
      <c r="D21" s="244"/>
      <c r="E21" s="228"/>
      <c r="F21" s="268"/>
      <c r="G21" s="225"/>
      <c r="H21" s="272"/>
      <c r="I21" s="272"/>
      <c r="J21" s="270"/>
      <c r="K21" s="280"/>
      <c r="M21" s="62" t="str">
        <f>IF(AND(F18&gt;0,N29&lt;&gt;1),"MOSTRAR","OCULTAR")</f>
        <v>OCULTAR</v>
      </c>
      <c r="N21" s="62"/>
      <c r="O21" s="62"/>
      <c r="P21" s="62"/>
      <c r="Q21" s="62"/>
      <c r="R21" s="62"/>
      <c r="S21" s="62"/>
      <c r="X21" s="60"/>
    </row>
    <row r="22" spans="2:26" ht="14.5" x14ac:dyDescent="0.35">
      <c r="B22" s="230">
        <f>IF(J22&gt;0,B7+0.1,B7)</f>
        <v>1.1000000000000001</v>
      </c>
      <c r="C22" s="258"/>
      <c r="D22" s="278" t="s">
        <v>617</v>
      </c>
      <c r="E22" s="258"/>
      <c r="F22" s="285">
        <f>IF(J22&gt;1,1,0)</f>
        <v>0</v>
      </c>
      <c r="G22" s="258"/>
      <c r="H22" s="274"/>
      <c r="I22" s="274"/>
      <c r="J22" s="274">
        <f>SUM(I23:I28)</f>
        <v>0</v>
      </c>
      <c r="K22" s="280"/>
      <c r="M22" s="62" t="str">
        <f>IF(J22&gt;0.1,"MOSTRAR","OCULTAR")</f>
        <v>OCULTAR</v>
      </c>
      <c r="N22" s="62"/>
      <c r="O22" s="62"/>
      <c r="P22" s="62"/>
      <c r="Q22" s="62"/>
      <c r="R22" s="62"/>
      <c r="S22" s="62"/>
      <c r="X22" s="60"/>
    </row>
    <row r="23" spans="2:26" ht="62.25" customHeight="1" x14ac:dyDescent="0.35">
      <c r="B23" s="230"/>
      <c r="C23" s="225"/>
      <c r="D23" s="235" t="s">
        <v>953</v>
      </c>
      <c r="E23" s="225"/>
      <c r="F23" s="268">
        <f>'PRECIO DEL METRAJE'!E17</f>
        <v>0</v>
      </c>
      <c r="G23" s="225" t="s">
        <v>509</v>
      </c>
      <c r="H23" s="272">
        <f>'PRECIO DEL METRAJE'!K17</f>
        <v>58.5</v>
      </c>
      <c r="I23" s="272">
        <f>'PRECIO DEL METRAJE'!M17</f>
        <v>0</v>
      </c>
      <c r="J23" s="270"/>
      <c r="K23" s="280"/>
      <c r="M23" s="62" t="str">
        <f t="shared" ref="M23:M28" si="2">IF(F23&gt;0.1,"MOSTRAR","OCULTAR")</f>
        <v>OCULTAR</v>
      </c>
      <c r="N23" s="62"/>
      <c r="O23" s="62"/>
      <c r="P23" s="62"/>
      <c r="Q23" s="62"/>
      <c r="R23" s="62"/>
      <c r="S23" s="62"/>
    </row>
    <row r="24" spans="2:26" ht="78" customHeight="1" x14ac:dyDescent="0.35">
      <c r="B24" s="230"/>
      <c r="C24" s="225"/>
      <c r="D24" s="235" t="s">
        <v>954</v>
      </c>
      <c r="E24" s="225"/>
      <c r="F24" s="268">
        <f>'PRECIO DEL METRAJE'!E18</f>
        <v>0</v>
      </c>
      <c r="G24" s="225" t="s">
        <v>509</v>
      </c>
      <c r="H24" s="272">
        <f>'PRECIO DEL METRAJE'!K18</f>
        <v>62.4</v>
      </c>
      <c r="I24" s="272">
        <f>'PRECIO DEL METRAJE'!M18</f>
        <v>0</v>
      </c>
      <c r="J24" s="270"/>
      <c r="K24" s="280"/>
      <c r="M24" s="62" t="str">
        <f t="shared" si="2"/>
        <v>OCULTAR</v>
      </c>
      <c r="N24" s="62"/>
      <c r="O24" s="62"/>
      <c r="P24" s="62"/>
      <c r="Q24" s="62"/>
      <c r="R24" s="62"/>
      <c r="S24" s="62"/>
      <c r="Y24" s="58"/>
      <c r="Z24" s="62"/>
    </row>
    <row r="25" spans="2:26" ht="91.5" customHeight="1" x14ac:dyDescent="0.35">
      <c r="B25" s="230"/>
      <c r="C25" s="423"/>
      <c r="D25" s="235" t="s">
        <v>946</v>
      </c>
      <c r="E25" s="225"/>
      <c r="F25" s="268">
        <f>'PRECIO DEL METRAJE'!E19</f>
        <v>0</v>
      </c>
      <c r="G25" s="225" t="s">
        <v>509</v>
      </c>
      <c r="H25" s="272">
        <f>'PRECIO DEL METRAJE'!K19</f>
        <v>40.9</v>
      </c>
      <c r="I25" s="272">
        <f>'PRECIO DEL METRAJE'!M19</f>
        <v>0</v>
      </c>
      <c r="J25" s="270"/>
      <c r="K25" s="280"/>
      <c r="M25" s="62" t="str">
        <f t="shared" si="2"/>
        <v>OCULTAR</v>
      </c>
      <c r="N25" s="62"/>
      <c r="O25" s="62"/>
      <c r="P25" s="62"/>
      <c r="Q25" s="62"/>
      <c r="R25" s="62"/>
      <c r="S25" s="62"/>
      <c r="Y25" s="58"/>
      <c r="Z25" s="62"/>
    </row>
    <row r="26" spans="2:26" ht="75" customHeight="1" x14ac:dyDescent="0.35">
      <c r="B26" s="230"/>
      <c r="C26" s="225"/>
      <c r="D26" s="235" t="s">
        <v>947</v>
      </c>
      <c r="E26" s="225"/>
      <c r="F26" s="268">
        <f>'PRECIO DEL METRAJE'!E20</f>
        <v>0</v>
      </c>
      <c r="G26" s="225" t="s">
        <v>509</v>
      </c>
      <c r="H26" s="272">
        <f>'PRECIO DEL METRAJE'!K20</f>
        <v>46</v>
      </c>
      <c r="I26" s="272">
        <f>'PRECIO DEL METRAJE'!M20</f>
        <v>0</v>
      </c>
      <c r="J26" s="270"/>
      <c r="K26" s="280"/>
      <c r="M26" s="62" t="str">
        <f t="shared" si="2"/>
        <v>OCULTAR</v>
      </c>
      <c r="N26" s="62"/>
      <c r="O26" s="62"/>
      <c r="P26" s="62"/>
      <c r="Q26" s="62"/>
      <c r="R26" s="62"/>
      <c r="S26" s="62"/>
    </row>
    <row r="27" spans="2:26" ht="64.5" customHeight="1" x14ac:dyDescent="0.35">
      <c r="B27" s="230"/>
      <c r="C27" s="225"/>
      <c r="D27" s="235" t="s">
        <v>948</v>
      </c>
      <c r="E27" s="225"/>
      <c r="F27" s="268">
        <f>'PRECIO DEL METRAJE'!E21</f>
        <v>0</v>
      </c>
      <c r="G27" s="225" t="s">
        <v>509</v>
      </c>
      <c r="H27" s="272">
        <f>'PRECIO DEL METRAJE'!K21</f>
        <v>50.4</v>
      </c>
      <c r="I27" s="272">
        <f>'PRECIO DEL METRAJE'!M21</f>
        <v>0</v>
      </c>
      <c r="J27" s="270"/>
      <c r="K27" s="280"/>
      <c r="M27" s="62" t="str">
        <f t="shared" si="2"/>
        <v>OCULTAR</v>
      </c>
      <c r="N27" s="62"/>
      <c r="O27" s="62"/>
      <c r="P27" s="62"/>
      <c r="Q27" s="62"/>
      <c r="R27" s="62"/>
      <c r="S27" s="62"/>
    </row>
    <row r="28" spans="2:26" ht="14.5" x14ac:dyDescent="0.35">
      <c r="B28" s="230"/>
      <c r="C28" s="225"/>
      <c r="D28" s="229"/>
      <c r="E28" s="225"/>
      <c r="F28" s="268"/>
      <c r="G28" s="225"/>
      <c r="H28" s="272"/>
      <c r="I28" s="272"/>
      <c r="J28" s="270"/>
      <c r="K28" s="280"/>
      <c r="M28" s="62" t="str">
        <f t="shared" si="2"/>
        <v>OCULTAR</v>
      </c>
      <c r="N28" s="62"/>
      <c r="O28" s="62"/>
      <c r="P28" s="62"/>
      <c r="Q28" s="62"/>
      <c r="R28" s="62"/>
      <c r="S28" s="62"/>
    </row>
    <row r="29" spans="2:26" s="229" customFormat="1" ht="15" customHeight="1" x14ac:dyDescent="0.35">
      <c r="B29" s="231"/>
      <c r="C29" s="262"/>
      <c r="D29" s="262" t="s">
        <v>1013</v>
      </c>
      <c r="E29" s="286"/>
      <c r="F29" s="543">
        <f>IF(J29&gt;1,1,0)</f>
        <v>0</v>
      </c>
      <c r="G29" s="259"/>
      <c r="H29" s="259"/>
      <c r="I29" s="259"/>
      <c r="J29" s="277">
        <f>SUM(I30:I36)</f>
        <v>0</v>
      </c>
      <c r="K29" s="280"/>
      <c r="L29" s="58"/>
      <c r="M29" s="62" t="str">
        <f>IF(J29&gt;0.1,"MOSTRAR","OCULTAR")</f>
        <v>OCULTAR</v>
      </c>
      <c r="N29" s="225"/>
      <c r="O29" s="547"/>
      <c r="P29" s="225"/>
      <c r="Q29" s="225"/>
      <c r="R29" s="225"/>
      <c r="S29" s="225"/>
      <c r="T29" s="225"/>
      <c r="U29" s="225"/>
    </row>
    <row r="30" spans="2:26" ht="84.75" customHeight="1" x14ac:dyDescent="0.35">
      <c r="B30" s="230"/>
      <c r="C30" s="225"/>
      <c r="D30" s="229" t="s">
        <v>618</v>
      </c>
      <c r="E30" s="225"/>
      <c r="F30" s="268">
        <f>'PRECIO DEL METRAJE'!E34</f>
        <v>0</v>
      </c>
      <c r="G30" s="225" t="s">
        <v>512</v>
      </c>
      <c r="H30" s="272">
        <f>'PRECIO DEL METRAJE'!K34</f>
        <v>49.300000000000004</v>
      </c>
      <c r="I30" s="272">
        <f>'PRECIO DEL METRAJE'!M34</f>
        <v>0</v>
      </c>
      <c r="J30" s="270"/>
      <c r="K30" s="280"/>
      <c r="M30" s="225" t="str">
        <f t="shared" ref="M30:M36" si="3">IF(F30&gt;0.1,"MOSTRAR","OCULTAR")</f>
        <v>OCULTAR</v>
      </c>
      <c r="N30" s="62"/>
      <c r="O30" s="62"/>
      <c r="P30" s="62"/>
      <c r="Q30" s="62"/>
      <c r="R30" s="62"/>
      <c r="S30" s="62"/>
    </row>
    <row r="31" spans="2:26" ht="16.5" x14ac:dyDescent="0.35">
      <c r="B31" s="230"/>
      <c r="C31" s="225"/>
      <c r="D31" s="229" t="s">
        <v>619</v>
      </c>
      <c r="E31" s="225"/>
      <c r="F31" s="268">
        <f>'PRECIO DEL METRAJE'!E35</f>
        <v>0</v>
      </c>
      <c r="G31" s="225" t="s">
        <v>512</v>
      </c>
      <c r="H31" s="272">
        <f>'PRECIO DEL METRAJE'!K35</f>
        <v>7.6999999999999993</v>
      </c>
      <c r="I31" s="272">
        <f>'PRECIO DEL METRAJE'!M35</f>
        <v>0</v>
      </c>
      <c r="J31" s="270"/>
      <c r="K31" s="280"/>
      <c r="M31" s="225" t="str">
        <f t="shared" si="3"/>
        <v>OCULTAR</v>
      </c>
      <c r="N31" s="62"/>
      <c r="O31" s="62"/>
      <c r="P31" s="62"/>
      <c r="Q31" s="62"/>
      <c r="R31" s="62"/>
      <c r="S31" s="62"/>
    </row>
    <row r="32" spans="2:26" ht="16.5" x14ac:dyDescent="0.35">
      <c r="B32" s="230"/>
      <c r="C32" s="225"/>
      <c r="D32" s="229" t="s">
        <v>620</v>
      </c>
      <c r="E32" s="225"/>
      <c r="F32" s="268">
        <f>'PRECIO DEL METRAJE'!E36</f>
        <v>0</v>
      </c>
      <c r="G32" s="225" t="s">
        <v>512</v>
      </c>
      <c r="H32" s="272">
        <f>'PRECIO DEL METRAJE'!K36</f>
        <v>1.3</v>
      </c>
      <c r="I32" s="272">
        <f>'PRECIO DEL METRAJE'!M36</f>
        <v>0</v>
      </c>
      <c r="J32" s="270"/>
      <c r="K32" s="280"/>
      <c r="M32" s="225" t="str">
        <f t="shared" si="3"/>
        <v>OCULTAR</v>
      </c>
      <c r="N32" s="62"/>
      <c r="O32" s="62"/>
      <c r="P32" s="62"/>
      <c r="Q32" s="62"/>
      <c r="R32" s="62"/>
      <c r="S32" s="62"/>
    </row>
    <row r="33" spans="2:21" ht="84.75" customHeight="1" x14ac:dyDescent="0.35">
      <c r="B33" s="230"/>
      <c r="C33" s="225"/>
      <c r="D33" s="229" t="s">
        <v>949</v>
      </c>
      <c r="E33" s="225"/>
      <c r="F33" s="268">
        <f>'PRECIO DEL METRAJE'!E37</f>
        <v>0</v>
      </c>
      <c r="G33" s="225" t="s">
        <v>509</v>
      </c>
      <c r="H33" s="272">
        <f>'PRECIO DEL METRAJE'!K37</f>
        <v>50</v>
      </c>
      <c r="I33" s="272">
        <f>'PRECIO DEL METRAJE'!M37</f>
        <v>0</v>
      </c>
      <c r="J33" s="270"/>
      <c r="K33" s="280"/>
      <c r="M33" s="225" t="str">
        <f t="shared" si="3"/>
        <v>OCULTAR</v>
      </c>
      <c r="N33" s="62"/>
      <c r="O33" s="62"/>
      <c r="P33" s="62"/>
      <c r="Q33" s="62"/>
      <c r="R33" s="62"/>
      <c r="S33" s="62"/>
    </row>
    <row r="34" spans="2:21" ht="82.5" customHeight="1" x14ac:dyDescent="0.35">
      <c r="B34" s="230"/>
      <c r="C34" s="225"/>
      <c r="D34" s="229" t="s">
        <v>950</v>
      </c>
      <c r="E34" s="225"/>
      <c r="F34" s="268">
        <f>'PRECIO DEL METRAJE'!E38</f>
        <v>0</v>
      </c>
      <c r="G34" s="225" t="s">
        <v>509</v>
      </c>
      <c r="H34" s="272">
        <f>'PRECIO DEL METRAJE'!K38</f>
        <v>63.4</v>
      </c>
      <c r="I34" s="272">
        <f>'PRECIO DEL METRAJE'!M38</f>
        <v>0</v>
      </c>
      <c r="J34" s="270"/>
      <c r="K34" s="280"/>
      <c r="M34" s="225" t="str">
        <f t="shared" si="3"/>
        <v>OCULTAR</v>
      </c>
      <c r="N34" s="62"/>
      <c r="O34" s="62"/>
      <c r="P34" s="62"/>
      <c r="Q34" s="62"/>
      <c r="R34" s="62"/>
      <c r="S34" s="62"/>
    </row>
    <row r="35" spans="2:21" ht="80.25" customHeight="1" x14ac:dyDescent="0.35">
      <c r="B35" s="230"/>
      <c r="C35" s="225"/>
      <c r="D35" s="229" t="s">
        <v>951</v>
      </c>
      <c r="E35" s="225"/>
      <c r="F35" s="268">
        <f>'PRECIO DEL METRAJE'!E39</f>
        <v>0</v>
      </c>
      <c r="G35" s="225" t="s">
        <v>509</v>
      </c>
      <c r="H35" s="272">
        <f>'PRECIO DEL METRAJE'!K39</f>
        <v>56.7</v>
      </c>
      <c r="I35" s="272">
        <f>'PRECIO DEL METRAJE'!M39</f>
        <v>0</v>
      </c>
      <c r="K35" s="280"/>
      <c r="M35" s="225" t="str">
        <f t="shared" si="3"/>
        <v>OCULTAR</v>
      </c>
      <c r="N35" s="62"/>
      <c r="O35" s="62"/>
      <c r="P35" s="62"/>
      <c r="Q35" s="62"/>
      <c r="R35" s="62"/>
      <c r="S35" s="62"/>
    </row>
    <row r="36" spans="2:21" ht="84" customHeight="1" x14ac:dyDescent="0.35">
      <c r="B36" s="230"/>
      <c r="C36" s="225"/>
      <c r="D36" s="229" t="s">
        <v>952</v>
      </c>
      <c r="E36" s="225"/>
      <c r="F36" s="268">
        <f>'PRECIO DEL METRAJE'!E40</f>
        <v>0</v>
      </c>
      <c r="G36" s="225" t="s">
        <v>509</v>
      </c>
      <c r="H36" s="272">
        <f>'PRECIO DEL METRAJE'!K40</f>
        <v>73.399999999999991</v>
      </c>
      <c r="I36" s="272">
        <f>'PRECIO DEL METRAJE'!M40</f>
        <v>0</v>
      </c>
      <c r="K36" s="280"/>
      <c r="M36" s="225" t="str">
        <f t="shared" si="3"/>
        <v>OCULTAR</v>
      </c>
      <c r="N36" s="62"/>
      <c r="O36" s="62"/>
      <c r="P36" s="62"/>
      <c r="Q36" s="62"/>
      <c r="R36" s="62"/>
      <c r="S36" s="62"/>
    </row>
    <row r="37" spans="2:21" ht="14.5" x14ac:dyDescent="0.35">
      <c r="B37" s="230"/>
      <c r="C37" s="225"/>
      <c r="D37" s="229"/>
      <c r="E37" s="225"/>
      <c r="F37" s="225"/>
      <c r="G37" s="225"/>
      <c r="H37" s="272"/>
      <c r="I37" s="272"/>
      <c r="J37" s="270"/>
      <c r="K37" s="280"/>
      <c r="M37" s="62" t="str">
        <f>IF(AND(F37&gt;0,N29=1),"MOSTRAR","OCULTAR")</f>
        <v>OCULTAR</v>
      </c>
      <c r="N37" s="62"/>
      <c r="O37" s="62"/>
      <c r="P37" s="62"/>
      <c r="Q37" s="62"/>
      <c r="R37" s="62"/>
      <c r="S37" s="62"/>
    </row>
    <row r="38" spans="2:21" ht="14.5" x14ac:dyDescent="0.35">
      <c r="B38" s="230"/>
      <c r="C38" s="225"/>
      <c r="D38" s="229"/>
      <c r="E38" s="225"/>
      <c r="F38" s="287">
        <f>IF(J38&gt;1,1,0)</f>
        <v>0</v>
      </c>
      <c r="G38" s="225"/>
      <c r="H38" s="272"/>
      <c r="I38" s="272"/>
      <c r="J38" s="270"/>
      <c r="K38" s="280"/>
      <c r="M38" s="62" t="str">
        <f>IF(AND(F38&gt;0,N29=1),"MOSTRAR","OCULTAR")</f>
        <v>OCULTAR</v>
      </c>
      <c r="N38" s="62"/>
      <c r="O38" s="62"/>
      <c r="P38" s="62"/>
      <c r="Q38" s="62"/>
      <c r="R38" s="62"/>
      <c r="S38" s="62"/>
    </row>
    <row r="39" spans="2:21" ht="18" customHeight="1" x14ac:dyDescent="0.35">
      <c r="B39" s="230">
        <f>IF(J39&gt;0,B22+0.1,B22)</f>
        <v>1.1000000000000001</v>
      </c>
      <c r="C39" s="265"/>
      <c r="D39" s="278" t="s">
        <v>621</v>
      </c>
      <c r="E39" s="258"/>
      <c r="F39" s="285">
        <f>IF(J39&gt;1,1,0)</f>
        <v>0</v>
      </c>
      <c r="G39" s="258"/>
      <c r="H39" s="274"/>
      <c r="I39" s="274"/>
      <c r="J39" s="274">
        <f>IF(N40=0,SUM(I41:I47),I40)</f>
        <v>0</v>
      </c>
      <c r="K39" s="280"/>
      <c r="M39" s="62" t="str">
        <f>IF(J39&gt;0.1,"MOSTRAR","OCULTAR")</f>
        <v>OCULTAR</v>
      </c>
      <c r="N39" s="62"/>
      <c r="O39" s="62"/>
      <c r="P39" s="62"/>
      <c r="Q39" s="62"/>
      <c r="R39" s="62"/>
      <c r="S39" s="62"/>
    </row>
    <row r="40" spans="2:21" ht="85.25" customHeight="1" x14ac:dyDescent="0.35">
      <c r="B40" s="231"/>
      <c r="C40" s="225"/>
      <c r="D40" s="236" t="str">
        <f>CONCATENATE("Full Glass type glazed panel, composed of 5+5 laminated glass with hygienic aluminum profiles. Total units: ",METRAJE!J72," Units")</f>
        <v>Full Glass type glazed panel, composed of 5+5 laminated glass with hygienic aluminum profiles. Total units: 0 Units</v>
      </c>
      <c r="E40" s="225"/>
      <c r="F40" s="268">
        <f>'PRECIO DEL METRAJE'!E44</f>
        <v>0</v>
      </c>
      <c r="G40" s="225" t="s">
        <v>217</v>
      </c>
      <c r="H40" s="272">
        <f>H41+H43+H44+H45</f>
        <v>82.6</v>
      </c>
      <c r="I40" s="272">
        <f>I41+I43+I44+I45</f>
        <v>0</v>
      </c>
      <c r="J40" s="270"/>
      <c r="K40" s="280"/>
      <c r="M40" s="237" t="str">
        <f>IF(OR(OB40&gt;0.1,N40=1),"MOSTRAR","OCULTAR")</f>
        <v>MOSTRAR</v>
      </c>
      <c r="N40" s="238">
        <v>1</v>
      </c>
      <c r="O40" s="239" t="s">
        <v>515</v>
      </c>
      <c r="P40" s="62"/>
      <c r="Q40" s="62"/>
      <c r="R40" s="62"/>
      <c r="S40" s="62"/>
    </row>
    <row r="41" spans="2:21" ht="78" customHeight="1" x14ac:dyDescent="0.35">
      <c r="B41" s="231"/>
      <c r="C41" s="423"/>
      <c r="D41" s="229" t="s">
        <v>622</v>
      </c>
      <c r="E41" s="225"/>
      <c r="F41" s="268">
        <f>'PRECIO DEL METRAJE'!E44</f>
        <v>0</v>
      </c>
      <c r="G41" s="225" t="s">
        <v>509</v>
      </c>
      <c r="H41" s="272">
        <f>'PRECIO DEL METRAJE'!K44</f>
        <v>63.4</v>
      </c>
      <c r="I41" s="272">
        <f>'PRECIO DEL METRAJE'!M44</f>
        <v>0</v>
      </c>
      <c r="J41" s="270"/>
      <c r="K41" s="280"/>
      <c r="M41" s="62" t="str">
        <f>IF(AND(F41&gt;0.1,$N$40=0),"MOSTRAR","OCULTAR")</f>
        <v>OCULTAR</v>
      </c>
      <c r="N41" s="62"/>
      <c r="O41" s="62"/>
      <c r="P41" s="62"/>
      <c r="Q41" s="62"/>
      <c r="R41" s="62"/>
      <c r="S41" s="62"/>
    </row>
    <row r="42" spans="2:21" ht="18" customHeight="1" x14ac:dyDescent="0.35">
      <c r="B42" s="231"/>
      <c r="C42" s="423"/>
      <c r="D42" s="281" t="s">
        <v>623</v>
      </c>
      <c r="E42" s="288"/>
      <c r="F42" s="268">
        <f>'PRECIO DEL METRAJE'!E45</f>
        <v>0</v>
      </c>
      <c r="G42" s="225" t="s">
        <v>215</v>
      </c>
      <c r="H42" s="272">
        <f>'PRECIO DEL METRAJE'!K45</f>
        <v>3.1</v>
      </c>
      <c r="I42" s="272">
        <f>'PRECIO DEL METRAJE'!M45</f>
        <v>0</v>
      </c>
      <c r="J42" s="270"/>
      <c r="K42" s="280"/>
      <c r="M42" s="62" t="str">
        <f>IF(F42&gt;0.1,"MOSTRAR","OCULTAR")</f>
        <v>OCULTAR</v>
      </c>
      <c r="N42" s="62"/>
      <c r="O42" s="62"/>
      <c r="P42" s="62"/>
      <c r="Q42" s="62"/>
      <c r="R42" s="62"/>
      <c r="S42" s="62"/>
    </row>
    <row r="43" spans="2:21" ht="18" customHeight="1" x14ac:dyDescent="0.35">
      <c r="B43" s="231"/>
      <c r="C43" s="423"/>
      <c r="D43" s="281" t="s">
        <v>624</v>
      </c>
      <c r="E43" s="288"/>
      <c r="F43" s="268">
        <f>'PRECIO DEL METRAJE'!E46</f>
        <v>0</v>
      </c>
      <c r="G43" s="225" t="s">
        <v>215</v>
      </c>
      <c r="H43" s="272">
        <f>'PRECIO DEL METRAJE'!K46</f>
        <v>14.4</v>
      </c>
      <c r="I43" s="272">
        <f>'PRECIO DEL METRAJE'!M46</f>
        <v>0</v>
      </c>
      <c r="J43" s="270"/>
      <c r="K43" s="280"/>
      <c r="M43" s="62" t="str">
        <f>IF(AND(F43&gt;0.1,$N$40=0),"MOSTRAR","OCULTAR")</f>
        <v>OCULTAR</v>
      </c>
      <c r="N43" s="62"/>
      <c r="O43" s="62"/>
      <c r="P43" s="62"/>
      <c r="Q43" s="62"/>
      <c r="R43" s="62"/>
      <c r="S43" s="62"/>
    </row>
    <row r="44" spans="2:21" ht="18" customHeight="1" x14ac:dyDescent="0.35">
      <c r="B44" s="231"/>
      <c r="C44" s="423"/>
      <c r="D44" s="281" t="s">
        <v>625</v>
      </c>
      <c r="E44" s="288"/>
      <c r="F44" s="268">
        <f>'PRECIO DEL METRAJE'!E47</f>
        <v>0</v>
      </c>
      <c r="G44" s="225" t="s">
        <v>215</v>
      </c>
      <c r="H44" s="272">
        <f>'PRECIO DEL METRAJE'!K47</f>
        <v>2.3000000000000003</v>
      </c>
      <c r="I44" s="272">
        <f>'PRECIO DEL METRAJE'!M47</f>
        <v>0</v>
      </c>
      <c r="J44" s="270"/>
      <c r="K44" s="280"/>
      <c r="M44" s="62" t="str">
        <f>IF(AND(F44&gt;0.1,$N$40=0),"MOSTRAR","OCULTAR")</f>
        <v>OCULTAR</v>
      </c>
      <c r="N44" s="62"/>
      <c r="O44" s="62"/>
      <c r="P44" s="62"/>
      <c r="Q44" s="62"/>
      <c r="R44" s="62"/>
      <c r="S44" s="62"/>
    </row>
    <row r="45" spans="2:21" ht="18" customHeight="1" x14ac:dyDescent="0.35">
      <c r="B45" s="231"/>
      <c r="C45" s="423"/>
      <c r="D45" s="281" t="s">
        <v>626</v>
      </c>
      <c r="E45" s="288"/>
      <c r="F45" s="268">
        <f>'PRECIO DEL METRAJE'!E48</f>
        <v>0</v>
      </c>
      <c r="G45" s="225" t="s">
        <v>215</v>
      </c>
      <c r="H45" s="272">
        <f>'PRECIO DEL METRAJE'!K48</f>
        <v>2.5</v>
      </c>
      <c r="I45" s="272">
        <f>'PRECIO DEL METRAJE'!M48</f>
        <v>0</v>
      </c>
      <c r="J45" s="270"/>
      <c r="K45" s="280"/>
      <c r="M45" s="62" t="str">
        <f>IF(AND(F45&gt;0.1,$N$40=0),"MOSTRAR","OCULTAR")</f>
        <v>OCULTAR</v>
      </c>
      <c r="N45" s="62"/>
      <c r="O45" s="62"/>
      <c r="P45" s="62"/>
      <c r="Q45" s="62"/>
      <c r="R45" s="62"/>
      <c r="S45" s="62"/>
    </row>
    <row r="46" spans="2:21" s="186" customFormat="1" ht="95" customHeight="1" x14ac:dyDescent="0.35">
      <c r="B46" s="230"/>
      <c r="C46" s="228"/>
      <c r="D46" s="235" t="s">
        <v>627</v>
      </c>
      <c r="E46" s="430"/>
      <c r="F46" s="268">
        <f>'PRECIO DEL METRAJE'!E49</f>
        <v>0</v>
      </c>
      <c r="G46" s="225" t="s">
        <v>215</v>
      </c>
      <c r="H46" s="431">
        <f>'PRECIO DEL METRAJE'!K49</f>
        <v>639.70000000000005</v>
      </c>
      <c r="I46" s="431">
        <f>'PRECIO DEL METRAJE'!M49</f>
        <v>0</v>
      </c>
      <c r="J46" s="432"/>
      <c r="K46" s="280"/>
      <c r="L46" s="433"/>
      <c r="M46" s="434" t="str">
        <f>IF(AND(F46&gt;0.1,N40=0),"MOSTRAR","OCULTAR")</f>
        <v>OCULTAR</v>
      </c>
      <c r="N46" s="434"/>
      <c r="O46" s="434"/>
      <c r="P46" s="434"/>
      <c r="Q46" s="434"/>
      <c r="R46" s="434"/>
      <c r="S46" s="434"/>
      <c r="T46" s="434"/>
      <c r="U46" s="434"/>
    </row>
    <row r="47" spans="2:21" ht="17.25" customHeight="1" x14ac:dyDescent="0.35">
      <c r="B47" s="230"/>
      <c r="C47" s="225"/>
      <c r="D47" s="235"/>
      <c r="E47" s="225"/>
      <c r="F47" s="225"/>
      <c r="G47" s="225"/>
      <c r="H47" s="272"/>
      <c r="I47" s="272"/>
      <c r="J47" s="270"/>
      <c r="K47" s="280"/>
      <c r="M47" s="62" t="str">
        <f>IF(F47&gt;0.1,"MOSTRAR","OCULTAR")</f>
        <v>OCULTAR</v>
      </c>
      <c r="N47" s="62"/>
      <c r="O47" s="62"/>
      <c r="P47" s="62"/>
      <c r="Q47" s="62"/>
      <c r="R47" s="62"/>
      <c r="S47" s="62"/>
    </row>
    <row r="48" spans="2:21" ht="18" customHeight="1" x14ac:dyDescent="0.35">
      <c r="B48" s="250">
        <f>IF(K47&gt;0,B6+1,B6)</f>
        <v>1</v>
      </c>
      <c r="C48" s="252"/>
      <c r="D48" s="251" t="s">
        <v>628</v>
      </c>
      <c r="E48" s="251"/>
      <c r="F48" s="266">
        <f>IF(K48&gt;1,1,0)</f>
        <v>0</v>
      </c>
      <c r="G48" s="252"/>
      <c r="H48" s="252"/>
      <c r="I48" s="252"/>
      <c r="J48" s="252"/>
      <c r="K48" s="253">
        <f>SUM(I49:I55)</f>
        <v>0</v>
      </c>
      <c r="M48" s="62" t="str">
        <f>IF(K48&gt;0.1,"MOSTRAR","OCULTAR")</f>
        <v>OCULTAR</v>
      </c>
      <c r="N48" s="62"/>
      <c r="O48" s="62"/>
      <c r="P48" s="62"/>
      <c r="Q48" s="62"/>
      <c r="R48" s="62"/>
      <c r="S48" s="62"/>
    </row>
    <row r="49" spans="2:30" ht="18" customHeight="1" x14ac:dyDescent="0.35">
      <c r="B49" s="230"/>
      <c r="C49" s="225"/>
      <c r="D49" s="229"/>
      <c r="E49" s="225"/>
      <c r="F49" s="493"/>
      <c r="G49" s="462"/>
      <c r="H49" s="494"/>
      <c r="I49" s="494"/>
      <c r="J49" s="495"/>
      <c r="K49" s="463"/>
      <c r="M49" s="62" t="str">
        <f t="shared" ref="M49:M55" si="4">IF(F49&gt;0.1,"MOSTRAR","OCULTAR")</f>
        <v>OCULTAR</v>
      </c>
      <c r="N49" s="62"/>
      <c r="O49" s="62"/>
      <c r="P49" s="62"/>
      <c r="Q49" s="62"/>
      <c r="R49" s="62"/>
      <c r="S49" s="62"/>
    </row>
    <row r="50" spans="2:30" ht="18" customHeight="1" x14ac:dyDescent="0.35">
      <c r="B50" s="230"/>
      <c r="C50" s="225"/>
      <c r="D50" s="229" t="s">
        <v>629</v>
      </c>
      <c r="E50" s="225"/>
      <c r="F50" s="268">
        <f>'PRECIO DEL METRAJE'!E54</f>
        <v>0</v>
      </c>
      <c r="G50" s="225" t="s">
        <v>509</v>
      </c>
      <c r="H50" s="494">
        <f>'PRECIO DEL METRAJE'!K54</f>
        <v>30.200000000000003</v>
      </c>
      <c r="I50" s="494">
        <f>'PRECIO DEL METRAJE'!M54</f>
        <v>0</v>
      </c>
      <c r="J50" s="495"/>
      <c r="K50" s="463"/>
      <c r="M50" s="62" t="str">
        <f t="shared" si="4"/>
        <v>OCULTAR</v>
      </c>
      <c r="N50" s="62"/>
      <c r="O50" s="62"/>
      <c r="P50" s="62"/>
      <c r="Q50" s="62"/>
      <c r="R50" s="62"/>
      <c r="S50" s="62"/>
    </row>
    <row r="51" spans="2:30" ht="18" customHeight="1" x14ac:dyDescent="0.35">
      <c r="B51" s="230"/>
      <c r="C51" s="225"/>
      <c r="D51" s="229"/>
      <c r="E51" s="225"/>
      <c r="F51" s="268"/>
      <c r="G51" s="462"/>
      <c r="H51" s="494"/>
      <c r="I51" s="494"/>
      <c r="J51" s="495"/>
      <c r="K51" s="463"/>
      <c r="M51" s="62" t="str">
        <f t="shared" si="4"/>
        <v>OCULTAR</v>
      </c>
      <c r="N51" s="62"/>
      <c r="O51" s="62"/>
      <c r="P51" s="62"/>
      <c r="Q51" s="62"/>
      <c r="R51" s="62"/>
      <c r="S51" s="62"/>
    </row>
    <row r="52" spans="2:30" ht="18" customHeight="1" x14ac:dyDescent="0.35">
      <c r="B52" s="230"/>
      <c r="C52" s="225"/>
      <c r="D52" s="229"/>
      <c r="E52" s="225"/>
      <c r="F52" s="268"/>
      <c r="G52" s="462"/>
      <c r="H52" s="494"/>
      <c r="I52" s="494"/>
      <c r="J52" s="495"/>
      <c r="K52" s="463"/>
      <c r="M52" s="62" t="str">
        <f t="shared" si="4"/>
        <v>OCULTAR</v>
      </c>
      <c r="N52" s="62"/>
      <c r="O52" s="62"/>
      <c r="P52" s="62"/>
      <c r="Q52" s="62"/>
      <c r="R52" s="62"/>
      <c r="S52" s="62"/>
    </row>
    <row r="53" spans="2:30" ht="19.5" customHeight="1" x14ac:dyDescent="0.35">
      <c r="B53" s="230"/>
      <c r="C53" s="225"/>
      <c r="D53" s="229" t="s">
        <v>630</v>
      </c>
      <c r="E53" s="225"/>
      <c r="F53" s="268">
        <f>'PRECIO DEL METRAJE'!E55</f>
        <v>0</v>
      </c>
      <c r="G53" s="225" t="s">
        <v>509</v>
      </c>
      <c r="H53" s="494">
        <f>'PRECIO DEL METRAJE'!K55</f>
        <v>0</v>
      </c>
      <c r="I53" s="494">
        <f>'PRECIO DEL METRAJE'!M55</f>
        <v>0</v>
      </c>
      <c r="J53" s="495"/>
      <c r="K53" s="463"/>
      <c r="M53" s="62" t="str">
        <f t="shared" si="4"/>
        <v>OCULTAR</v>
      </c>
      <c r="N53" s="62"/>
      <c r="O53" s="62"/>
      <c r="P53" s="62"/>
      <c r="Q53" s="62"/>
      <c r="R53" s="62"/>
      <c r="S53" s="62"/>
    </row>
    <row r="54" spans="2:30" ht="18" customHeight="1" x14ac:dyDescent="0.35">
      <c r="B54" s="230"/>
      <c r="C54" s="225"/>
      <c r="D54" s="229"/>
      <c r="E54" s="225"/>
      <c r="F54" s="493"/>
      <c r="G54" s="462"/>
      <c r="H54" s="494"/>
      <c r="I54" s="494"/>
      <c r="J54" s="495"/>
      <c r="K54" s="463"/>
      <c r="M54" s="62" t="str">
        <f t="shared" si="4"/>
        <v>OCULTAR</v>
      </c>
      <c r="N54" s="62"/>
      <c r="O54" s="62"/>
      <c r="P54" s="62"/>
      <c r="Q54" s="62"/>
      <c r="R54" s="62"/>
      <c r="S54" s="62"/>
    </row>
    <row r="55" spans="2:30" ht="18" customHeight="1" x14ac:dyDescent="0.35">
      <c r="B55" s="230"/>
      <c r="C55" s="225"/>
      <c r="D55" s="229"/>
      <c r="E55" s="225"/>
      <c r="F55" s="493"/>
      <c r="G55" s="462"/>
      <c r="H55" s="494"/>
      <c r="I55" s="494"/>
      <c r="J55" s="495"/>
      <c r="K55" s="463"/>
      <c r="M55" s="62" t="str">
        <f t="shared" si="4"/>
        <v>OCULTAR</v>
      </c>
      <c r="N55" s="62"/>
      <c r="O55" s="62"/>
      <c r="P55" s="62"/>
      <c r="Q55" s="62"/>
      <c r="R55" s="62"/>
      <c r="S55" s="62"/>
    </row>
    <row r="56" spans="2:30" ht="18" customHeight="1" x14ac:dyDescent="0.35">
      <c r="B56" s="250">
        <f>IF(K56&gt;0,B48+1,B48)</f>
        <v>2</v>
      </c>
      <c r="C56" s="252"/>
      <c r="D56" s="251" t="s">
        <v>631</v>
      </c>
      <c r="E56" s="252"/>
      <c r="F56" s="267">
        <f>IF(K56&gt;1,1,0)</f>
        <v>1</v>
      </c>
      <c r="G56" s="254"/>
      <c r="H56" s="273"/>
      <c r="I56" s="273"/>
      <c r="J56" s="271"/>
      <c r="K56" s="253">
        <f>IF(N58=0,SUM(I59:I76),I58)+J77</f>
        <v>275.95999999999998</v>
      </c>
      <c r="L56" s="183"/>
      <c r="M56" s="62" t="str">
        <f>IF(K56&gt;0.1,"MOSTRAR","OCULTAR")</f>
        <v>MOSTRAR</v>
      </c>
      <c r="N56" s="300"/>
      <c r="O56" s="300"/>
      <c r="P56" s="62"/>
      <c r="Q56" s="62"/>
      <c r="R56" s="62"/>
      <c r="S56" s="62"/>
    </row>
    <row r="57" spans="2:30" ht="18" customHeight="1" x14ac:dyDescent="0.35">
      <c r="B57" s="230">
        <f>IF(J57&gt;0,B56+0.1,B56)</f>
        <v>2.1</v>
      </c>
      <c r="C57" s="258"/>
      <c r="D57" s="278" t="s">
        <v>632</v>
      </c>
      <c r="E57" s="258"/>
      <c r="F57" s="285">
        <f>IF(J57&gt;1,1,0)</f>
        <v>1</v>
      </c>
      <c r="G57" s="258"/>
      <c r="H57" s="274"/>
      <c r="I57" s="274"/>
      <c r="J57" s="274">
        <f>SUM(I59:I76)</f>
        <v>232.95999999999998</v>
      </c>
      <c r="K57" s="280"/>
      <c r="M57" s="62" t="str">
        <f>IF(J57&gt;0.1,"MOSTRAR","OCULTAR")</f>
        <v>MOSTRAR</v>
      </c>
      <c r="N57" s="62"/>
      <c r="O57" s="62"/>
      <c r="P57" s="62"/>
      <c r="Q57" s="62"/>
      <c r="R57" s="62"/>
      <c r="S57" s="62"/>
    </row>
    <row r="58" spans="2:30" ht="110.25" customHeight="1" x14ac:dyDescent="0.35">
      <c r="B58" s="230"/>
      <c r="C58" s="225"/>
      <c r="D58" s="244" t="s">
        <v>633</v>
      </c>
      <c r="E58" s="225"/>
      <c r="F58" s="268">
        <v>1</v>
      </c>
      <c r="G58" s="225" t="s">
        <v>519</v>
      </c>
      <c r="H58" s="272"/>
      <c r="I58" s="272">
        <f>SUM(I59:I76)</f>
        <v>232.95999999999998</v>
      </c>
      <c r="J58" s="270"/>
      <c r="K58" s="280"/>
      <c r="L58" s="224"/>
      <c r="M58" s="237" t="str">
        <f>IF(OR(OB58&gt;0.1,N58=1),"MOSTRAR","OCULTAR")</f>
        <v>MOSTRAR</v>
      </c>
      <c r="N58" s="238">
        <v>1</v>
      </c>
      <c r="O58" s="240" t="s">
        <v>515</v>
      </c>
      <c r="P58" s="62"/>
      <c r="Q58" s="62"/>
      <c r="R58" s="62"/>
      <c r="S58" s="62"/>
      <c r="AD58" s="58"/>
    </row>
    <row r="59" spans="2:30" ht="54.75" customHeight="1" x14ac:dyDescent="0.35">
      <c r="B59" s="230"/>
      <c r="C59" s="225"/>
      <c r="D59" s="229" t="s">
        <v>634</v>
      </c>
      <c r="E59" s="225"/>
      <c r="F59" s="268">
        <f>'PRECIO DEL METRAJE'!E60</f>
        <v>13</v>
      </c>
      <c r="G59" s="225" t="s">
        <v>215</v>
      </c>
      <c r="H59" s="272">
        <f>'PRECIO DEL METRAJE'!K60</f>
        <v>8.2999999999999989</v>
      </c>
      <c r="I59" s="272">
        <f>'PRECIO DEL METRAJE'!M60</f>
        <v>107.89999999999999</v>
      </c>
      <c r="J59" s="270"/>
      <c r="K59" s="280"/>
      <c r="M59" s="62" t="str">
        <f t="shared" ref="M59:M76" si="5">IF(AND(F59&gt;0.1,$N$58=0),"MOSTRAR","OCULTAR")</f>
        <v>OCULTAR</v>
      </c>
      <c r="N59" s="62"/>
      <c r="O59" s="62"/>
      <c r="P59" s="62"/>
      <c r="Q59" s="62"/>
      <c r="R59" s="62"/>
      <c r="S59" s="62"/>
      <c r="AD59" s="58"/>
    </row>
    <row r="60" spans="2:30" ht="18" customHeight="1" x14ac:dyDescent="0.35">
      <c r="B60" s="230"/>
      <c r="C60" s="225"/>
      <c r="D60" s="229" t="s">
        <v>635</v>
      </c>
      <c r="E60" s="225"/>
      <c r="F60" s="268">
        <f>'PRECIO DEL METRAJE'!E61</f>
        <v>0</v>
      </c>
      <c r="G60" s="225" t="s">
        <v>215</v>
      </c>
      <c r="H60" s="272">
        <f>'PRECIO DEL METRAJE'!K61</f>
        <v>5</v>
      </c>
      <c r="I60" s="272">
        <f>'PRECIO DEL METRAJE'!M61</f>
        <v>0</v>
      </c>
      <c r="J60" s="270"/>
      <c r="K60" s="280"/>
      <c r="M60" s="62" t="str">
        <f t="shared" si="5"/>
        <v>OCULTAR</v>
      </c>
      <c r="N60" s="62"/>
      <c r="O60" s="62"/>
      <c r="P60" s="62"/>
      <c r="Q60" s="62"/>
      <c r="R60" s="62"/>
      <c r="S60" s="62"/>
    </row>
    <row r="61" spans="2:30" ht="18" customHeight="1" x14ac:dyDescent="0.35">
      <c r="B61" s="230"/>
      <c r="C61" s="225"/>
      <c r="D61" s="229" t="s">
        <v>636</v>
      </c>
      <c r="E61" s="225"/>
      <c r="F61" s="268">
        <f>'PRECIO DEL METRAJE'!E62</f>
        <v>0</v>
      </c>
      <c r="G61" s="225" t="s">
        <v>215</v>
      </c>
      <c r="H61" s="272">
        <f>'PRECIO DEL METRAJE'!K62</f>
        <v>3.5</v>
      </c>
      <c r="I61" s="272">
        <f>'PRECIO DEL METRAJE'!M62</f>
        <v>0</v>
      </c>
      <c r="J61" s="270"/>
      <c r="K61" s="280"/>
      <c r="M61" s="62" t="str">
        <f t="shared" si="5"/>
        <v>OCULTAR</v>
      </c>
      <c r="N61" s="62"/>
      <c r="O61" s="62"/>
      <c r="P61" s="62"/>
      <c r="Q61" s="62"/>
      <c r="R61" s="62"/>
      <c r="S61" s="62"/>
    </row>
    <row r="62" spans="2:30" ht="77.25" customHeight="1" x14ac:dyDescent="0.35">
      <c r="B62" s="230"/>
      <c r="C62" s="225"/>
      <c r="D62" s="229" t="s">
        <v>637</v>
      </c>
      <c r="E62" s="225"/>
      <c r="F62" s="268">
        <f>'PRECIO DEL METRAJE'!E63</f>
        <v>0</v>
      </c>
      <c r="G62" s="225" t="s">
        <v>608</v>
      </c>
      <c r="H62" s="272">
        <f>'PRECIO DEL METRAJE'!K63</f>
        <v>6.8999999999999995</v>
      </c>
      <c r="I62" s="272">
        <f>'PRECIO DEL METRAJE'!M63</f>
        <v>0</v>
      </c>
      <c r="J62" s="270"/>
      <c r="K62" s="280"/>
      <c r="M62" s="62" t="str">
        <f t="shared" si="5"/>
        <v>OCULTAR</v>
      </c>
      <c r="N62" s="62"/>
      <c r="O62" s="62"/>
      <c r="P62" s="62"/>
      <c r="Q62" s="62"/>
      <c r="R62" s="62"/>
      <c r="S62" s="62"/>
    </row>
    <row r="63" spans="2:30" ht="86.25" customHeight="1" x14ac:dyDescent="0.35">
      <c r="B63" s="230"/>
      <c r="C63" s="225"/>
      <c r="D63" s="229" t="s">
        <v>638</v>
      </c>
      <c r="E63" s="225"/>
      <c r="F63" s="268">
        <f>'PRECIO DEL METRAJE'!E64</f>
        <v>0</v>
      </c>
      <c r="G63" s="225" t="s">
        <v>215</v>
      </c>
      <c r="H63" s="272">
        <f>'PRECIO DEL METRAJE'!K64</f>
        <v>10.1</v>
      </c>
      <c r="I63" s="272">
        <f>'PRECIO DEL METRAJE'!M64</f>
        <v>0</v>
      </c>
      <c r="J63" s="270"/>
      <c r="K63" s="280"/>
      <c r="M63" s="62" t="str">
        <f t="shared" si="5"/>
        <v>OCULTAR</v>
      </c>
      <c r="N63" s="62"/>
      <c r="O63" s="62"/>
      <c r="P63" s="62"/>
      <c r="Q63" s="62"/>
      <c r="R63" s="62"/>
      <c r="S63" s="62"/>
    </row>
    <row r="64" spans="2:30" ht="88.5" customHeight="1" x14ac:dyDescent="0.45">
      <c r="B64" s="230"/>
      <c r="C64" s="225"/>
      <c r="D64" s="229" t="s">
        <v>639</v>
      </c>
      <c r="E64" s="225"/>
      <c r="F64" s="268">
        <f>'PRECIO DEL METRAJE'!E65</f>
        <v>0</v>
      </c>
      <c r="G64" s="225" t="s">
        <v>608</v>
      </c>
      <c r="H64" s="272">
        <f>'PRECIO DEL METRAJE'!K65</f>
        <v>12.2</v>
      </c>
      <c r="I64" s="272">
        <f>'PRECIO DEL METRAJE'!M65</f>
        <v>0</v>
      </c>
      <c r="J64" s="270"/>
      <c r="K64" s="280"/>
      <c r="M64" s="62" t="str">
        <f t="shared" si="5"/>
        <v>OCULTAR</v>
      </c>
      <c r="N64" s="68"/>
      <c r="O64" s="62"/>
      <c r="P64" s="62"/>
      <c r="Q64" s="62"/>
      <c r="R64" s="62"/>
      <c r="S64" s="62"/>
    </row>
    <row r="65" spans="2:19" ht="88.5" customHeight="1" x14ac:dyDescent="0.45">
      <c r="B65" s="230"/>
      <c r="C65" s="225"/>
      <c r="D65" s="229" t="s">
        <v>640</v>
      </c>
      <c r="E65" s="225"/>
      <c r="F65" s="268">
        <f>'PRECIO DEL METRAJE'!E66</f>
        <v>18.900000000000002</v>
      </c>
      <c r="G65" s="225" t="s">
        <v>215</v>
      </c>
      <c r="H65" s="272">
        <f>'PRECIO DEL METRAJE'!K66</f>
        <v>3.4</v>
      </c>
      <c r="I65" s="272">
        <f>'PRECIO DEL METRAJE'!M66</f>
        <v>64.260000000000005</v>
      </c>
      <c r="J65" s="270"/>
      <c r="K65" s="280"/>
      <c r="M65" s="62" t="str">
        <f t="shared" si="5"/>
        <v>OCULTAR</v>
      </c>
      <c r="N65" s="68"/>
      <c r="O65" s="62"/>
      <c r="P65" s="62"/>
      <c r="Q65" s="62"/>
      <c r="R65" s="62"/>
      <c r="S65" s="62"/>
    </row>
    <row r="66" spans="2:19" ht="66" customHeight="1" x14ac:dyDescent="0.45">
      <c r="B66" s="230"/>
      <c r="C66" s="225"/>
      <c r="D66" s="229" t="s">
        <v>641</v>
      </c>
      <c r="E66" s="225"/>
      <c r="F66" s="268">
        <f>'PRECIO DEL METRAJE'!E67</f>
        <v>6</v>
      </c>
      <c r="G66" s="225" t="s">
        <v>215</v>
      </c>
      <c r="H66" s="272">
        <f>'PRECIO DEL METRAJE'!K67</f>
        <v>2.9</v>
      </c>
      <c r="I66" s="272">
        <f>'PRECIO DEL METRAJE'!M67</f>
        <v>17.399999999999999</v>
      </c>
      <c r="J66" s="270"/>
      <c r="K66" s="280"/>
      <c r="M66" s="62" t="str">
        <f t="shared" si="5"/>
        <v>OCULTAR</v>
      </c>
      <c r="N66" s="68"/>
      <c r="O66" s="62"/>
      <c r="P66" s="62"/>
      <c r="Q66" s="62"/>
      <c r="R66" s="62"/>
      <c r="S66" s="62"/>
    </row>
    <row r="67" spans="2:19" ht="18" customHeight="1" x14ac:dyDescent="0.45">
      <c r="B67" s="230"/>
      <c r="C67" s="225"/>
      <c r="D67" s="229" t="s">
        <v>642</v>
      </c>
      <c r="E67" s="225"/>
      <c r="F67" s="268">
        <f>'PRECIO DEL METRAJE'!E68</f>
        <v>7</v>
      </c>
      <c r="G67" s="225" t="s">
        <v>215</v>
      </c>
      <c r="H67" s="272">
        <f>'PRECIO DEL METRAJE'!K68</f>
        <v>6.1999999999999993</v>
      </c>
      <c r="I67" s="272">
        <f>'PRECIO DEL METRAJE'!M68</f>
        <v>43.399999999999991</v>
      </c>
      <c r="J67" s="270"/>
      <c r="K67" s="280"/>
      <c r="M67" s="62" t="str">
        <f t="shared" si="5"/>
        <v>OCULTAR</v>
      </c>
      <c r="N67" s="68"/>
      <c r="O67" s="62"/>
      <c r="P67" s="62"/>
      <c r="Q67" s="62"/>
      <c r="R67" s="62"/>
      <c r="S67" s="62"/>
    </row>
    <row r="68" spans="2:19" ht="18" customHeight="1" x14ac:dyDescent="0.45">
      <c r="B68" s="230"/>
      <c r="C68" s="225"/>
      <c r="D68" s="229" t="s">
        <v>643</v>
      </c>
      <c r="E68" s="225"/>
      <c r="F68" s="268">
        <f>'PRECIO DEL METRAJE'!E69</f>
        <v>0</v>
      </c>
      <c r="G68" s="225" t="s">
        <v>215</v>
      </c>
      <c r="H68" s="272">
        <f>'PRECIO DEL METRAJE'!K69</f>
        <v>5.3</v>
      </c>
      <c r="I68" s="272">
        <f>'PRECIO DEL METRAJE'!M69</f>
        <v>0</v>
      </c>
      <c r="J68" s="270"/>
      <c r="K68" s="280"/>
      <c r="M68" s="62" t="str">
        <f t="shared" si="5"/>
        <v>OCULTAR</v>
      </c>
      <c r="N68" s="68"/>
      <c r="O68" s="62"/>
      <c r="P68" s="62"/>
      <c r="Q68" s="62"/>
      <c r="R68" s="62"/>
      <c r="S68" s="62"/>
    </row>
    <row r="69" spans="2:19" ht="18" customHeight="1" x14ac:dyDescent="0.45">
      <c r="B69" s="230"/>
      <c r="C69" s="225"/>
      <c r="D69" s="229" t="s">
        <v>644</v>
      </c>
      <c r="E69" s="225"/>
      <c r="F69" s="268">
        <f>'PRECIO DEL METRAJE'!E70</f>
        <v>0</v>
      </c>
      <c r="G69" s="225" t="s">
        <v>215</v>
      </c>
      <c r="H69" s="272">
        <f>'PRECIO DEL METRAJE'!K70</f>
        <v>6.8999999999999995</v>
      </c>
      <c r="I69" s="272">
        <f>'PRECIO DEL METRAJE'!M70</f>
        <v>0</v>
      </c>
      <c r="J69" s="270"/>
      <c r="K69" s="280"/>
      <c r="L69" s="61"/>
      <c r="M69" s="62" t="str">
        <f t="shared" si="5"/>
        <v>OCULTAR</v>
      </c>
      <c r="N69" s="68"/>
      <c r="O69" s="62"/>
      <c r="P69" s="62"/>
      <c r="Q69" s="62"/>
      <c r="R69" s="62"/>
      <c r="S69" s="62"/>
    </row>
    <row r="70" spans="2:19" ht="71.25" customHeight="1" x14ac:dyDescent="0.45">
      <c r="B70" s="230"/>
      <c r="C70" s="225"/>
      <c r="D70" s="229" t="s">
        <v>645</v>
      </c>
      <c r="E70" s="225"/>
      <c r="F70" s="268">
        <f>'PRECIO DEL METRAJE'!E71</f>
        <v>0</v>
      </c>
      <c r="G70" s="225" t="s">
        <v>608</v>
      </c>
      <c r="H70" s="272">
        <f>'PRECIO DEL METRAJE'!K71</f>
        <v>4.8</v>
      </c>
      <c r="I70" s="272">
        <f>'PRECIO DEL METRAJE'!M71</f>
        <v>0</v>
      </c>
      <c r="J70" s="270"/>
      <c r="K70" s="280"/>
      <c r="M70" s="62" t="str">
        <f t="shared" si="5"/>
        <v>OCULTAR</v>
      </c>
      <c r="N70" s="68"/>
      <c r="O70" s="62"/>
      <c r="P70" s="62"/>
      <c r="Q70" s="62"/>
      <c r="R70" s="62"/>
      <c r="S70" s="62"/>
    </row>
    <row r="71" spans="2:19" ht="18" customHeight="1" x14ac:dyDescent="0.35">
      <c r="B71" s="230"/>
      <c r="C71" s="225"/>
      <c r="D71" s="229" t="s">
        <v>646</v>
      </c>
      <c r="E71" s="225"/>
      <c r="F71" s="268">
        <f>'PRECIO DEL METRAJE'!E72</f>
        <v>0</v>
      </c>
      <c r="G71" s="225" t="s">
        <v>215</v>
      </c>
      <c r="H71" s="272">
        <f>'PRECIO DEL METRAJE'!K72</f>
        <v>5.1999999999999993</v>
      </c>
      <c r="I71" s="272">
        <f>'PRECIO DEL METRAJE'!M72</f>
        <v>0</v>
      </c>
      <c r="J71" s="270"/>
      <c r="K71" s="280"/>
      <c r="M71" s="62" t="str">
        <f t="shared" si="5"/>
        <v>OCULTAR</v>
      </c>
      <c r="N71" s="62"/>
      <c r="O71" s="62"/>
      <c r="P71" s="62"/>
      <c r="Q71" s="62"/>
      <c r="R71" s="62"/>
      <c r="S71" s="62"/>
    </row>
    <row r="72" spans="2:19" ht="18" customHeight="1" x14ac:dyDescent="0.35">
      <c r="B72" s="230"/>
      <c r="C72" s="225"/>
      <c r="D72" s="229" t="s">
        <v>647</v>
      </c>
      <c r="E72" s="225"/>
      <c r="F72" s="268">
        <f>'PRECIO DEL METRAJE'!E73</f>
        <v>0</v>
      </c>
      <c r="G72" s="225" t="s">
        <v>215</v>
      </c>
      <c r="H72" s="272">
        <f>'PRECIO DEL METRAJE'!K73</f>
        <v>6.1999999999999993</v>
      </c>
      <c r="I72" s="272">
        <f>'PRECIO DEL METRAJE'!M73</f>
        <v>0</v>
      </c>
      <c r="J72" s="270"/>
      <c r="K72" s="280"/>
      <c r="M72" s="62" t="str">
        <f t="shared" si="5"/>
        <v>OCULTAR</v>
      </c>
      <c r="N72" s="62"/>
      <c r="O72" s="62"/>
      <c r="P72" s="62"/>
      <c r="Q72" s="62"/>
      <c r="R72" s="62"/>
      <c r="S72" s="62"/>
    </row>
    <row r="73" spans="2:19" ht="18" customHeight="1" x14ac:dyDescent="0.35">
      <c r="B73" s="230"/>
      <c r="C73" s="225"/>
      <c r="D73" s="229" t="s">
        <v>648</v>
      </c>
      <c r="E73" s="225"/>
      <c r="F73" s="268">
        <f>'PRECIO DEL METRAJE'!E74</f>
        <v>0</v>
      </c>
      <c r="G73" s="225" t="s">
        <v>60</v>
      </c>
      <c r="H73" s="272">
        <f>'PRECIO DEL METRAJE'!K74</f>
        <v>13.9</v>
      </c>
      <c r="I73" s="272">
        <f>'PRECIO DEL METRAJE'!M74</f>
        <v>0</v>
      </c>
      <c r="J73" s="270"/>
      <c r="K73" s="280"/>
      <c r="M73" s="62" t="str">
        <f t="shared" si="5"/>
        <v>OCULTAR</v>
      </c>
      <c r="N73" s="62"/>
      <c r="O73" s="62"/>
      <c r="P73" s="62"/>
      <c r="Q73" s="62"/>
      <c r="R73" s="62"/>
      <c r="S73" s="62"/>
    </row>
    <row r="74" spans="2:19" ht="18" customHeight="1" x14ac:dyDescent="0.35">
      <c r="B74" s="230"/>
      <c r="C74" s="225"/>
      <c r="D74" s="229" t="s">
        <v>649</v>
      </c>
      <c r="E74" s="225"/>
      <c r="F74" s="268">
        <f>'PRECIO DEL METRAJE'!E75</f>
        <v>0</v>
      </c>
      <c r="G74" s="225" t="s">
        <v>608</v>
      </c>
      <c r="H74" s="272">
        <f>'PRECIO DEL METRAJE'!K75</f>
        <v>3.8000000000000003</v>
      </c>
      <c r="I74" s="272">
        <f>'PRECIO DEL METRAJE'!M75</f>
        <v>0</v>
      </c>
      <c r="J74" s="270"/>
      <c r="K74" s="280"/>
      <c r="M74" s="62" t="str">
        <f t="shared" si="5"/>
        <v>OCULTAR</v>
      </c>
      <c r="N74" s="62"/>
      <c r="O74" s="62"/>
      <c r="P74" s="62"/>
      <c r="Q74" s="62"/>
      <c r="R74" s="62"/>
      <c r="S74" s="62"/>
    </row>
    <row r="75" spans="2:19" ht="18" customHeight="1" x14ac:dyDescent="0.35">
      <c r="B75" s="230"/>
      <c r="C75" s="225"/>
      <c r="D75" s="229" t="s">
        <v>650</v>
      </c>
      <c r="E75" s="225"/>
      <c r="F75" s="268">
        <f>'PRECIO DEL METRAJE'!E76</f>
        <v>0</v>
      </c>
      <c r="G75" s="225" t="s">
        <v>608</v>
      </c>
      <c r="H75" s="272">
        <f>'PRECIO DEL METRAJE'!K76</f>
        <v>7.3999999999999995</v>
      </c>
      <c r="I75" s="272">
        <f>'PRECIO DEL METRAJE'!M76</f>
        <v>0</v>
      </c>
      <c r="J75" s="270"/>
      <c r="K75" s="280"/>
      <c r="M75" s="62" t="str">
        <f t="shared" si="5"/>
        <v>OCULTAR</v>
      </c>
      <c r="N75" s="62"/>
      <c r="O75" s="62"/>
      <c r="P75" s="62"/>
      <c r="Q75" s="62"/>
      <c r="R75" s="62"/>
      <c r="S75" s="62"/>
    </row>
    <row r="76" spans="2:19" ht="18" customHeight="1" x14ac:dyDescent="0.35">
      <c r="B76" s="230"/>
      <c r="C76" s="225"/>
      <c r="D76" s="229" t="s">
        <v>651</v>
      </c>
      <c r="E76" s="225"/>
      <c r="F76" s="268">
        <f>'PRECIO DEL METRAJE'!E77</f>
        <v>0</v>
      </c>
      <c r="G76" s="225" t="s">
        <v>608</v>
      </c>
      <c r="H76" s="272">
        <f>'PRECIO DEL METRAJE'!K77</f>
        <v>7.5</v>
      </c>
      <c r="I76" s="272">
        <f>'PRECIO DEL METRAJE'!M77</f>
        <v>0</v>
      </c>
      <c r="J76" s="270"/>
      <c r="K76" s="280"/>
      <c r="M76" s="62" t="str">
        <f t="shared" si="5"/>
        <v>OCULTAR</v>
      </c>
      <c r="N76" s="62"/>
      <c r="O76" s="62"/>
      <c r="P76" s="62"/>
      <c r="Q76" s="62"/>
      <c r="R76" s="62"/>
      <c r="S76" s="62"/>
    </row>
    <row r="77" spans="2:19" ht="18" customHeight="1" x14ac:dyDescent="0.35">
      <c r="B77" s="230">
        <f>IF(J77&gt;0,B57+0.1,B57)</f>
        <v>2.2000000000000002</v>
      </c>
      <c r="C77" s="258"/>
      <c r="D77" s="278" t="s">
        <v>91</v>
      </c>
      <c r="E77" s="258"/>
      <c r="F77" s="285">
        <f>IF(J77&gt;1,1,0)</f>
        <v>1</v>
      </c>
      <c r="G77" s="258"/>
      <c r="H77" s="274"/>
      <c r="I77" s="274"/>
      <c r="J77" s="274">
        <f>IF(N78=0,SUM(I79),I78)</f>
        <v>43</v>
      </c>
      <c r="K77" s="280"/>
      <c r="M77" s="62" t="str">
        <f>IF(J77&gt;0.1,"MOSTRAR","OCULTAR")</f>
        <v>MOSTRAR</v>
      </c>
      <c r="N77" s="62"/>
      <c r="O77" s="62"/>
      <c r="P77" s="62"/>
      <c r="Q77" s="62"/>
      <c r="R77" s="62"/>
      <c r="S77" s="62"/>
    </row>
    <row r="78" spans="2:19" ht="91.5" customHeight="1" x14ac:dyDescent="0.35">
      <c r="B78" s="230"/>
      <c r="C78" s="225"/>
      <c r="D78" s="244" t="s">
        <v>652</v>
      </c>
      <c r="E78" s="257"/>
      <c r="F78" s="268">
        <v>1</v>
      </c>
      <c r="G78" s="225" t="s">
        <v>519</v>
      </c>
      <c r="H78" s="272"/>
      <c r="I78" s="272">
        <f>I79</f>
        <v>43</v>
      </c>
      <c r="J78" s="270"/>
      <c r="K78" s="280"/>
      <c r="M78" s="237" t="str">
        <f>IF(OR(OB78&gt;0.1,N78=1),"MOSTRAR","OCULTAR")</f>
        <v>MOSTRAR</v>
      </c>
      <c r="N78" s="238">
        <v>1</v>
      </c>
      <c r="O78" s="240" t="s">
        <v>515</v>
      </c>
      <c r="P78" s="62"/>
      <c r="Q78" s="62"/>
      <c r="R78" s="62"/>
      <c r="S78" s="62"/>
    </row>
    <row r="79" spans="2:19" ht="18" customHeight="1" x14ac:dyDescent="0.35">
      <c r="B79" s="230"/>
      <c r="C79" s="225"/>
      <c r="D79" s="229" t="s">
        <v>653</v>
      </c>
      <c r="E79" s="290"/>
      <c r="F79" s="268">
        <f>'PRECIO DEL METRAJE'!E81</f>
        <v>10</v>
      </c>
      <c r="G79" s="225" t="s">
        <v>608</v>
      </c>
      <c r="H79" s="272">
        <f>'PRECIO DEL METRAJE'!K81</f>
        <v>4.3</v>
      </c>
      <c r="I79" s="272">
        <f>'PRECIO DEL METRAJE'!M81</f>
        <v>43</v>
      </c>
      <c r="J79" s="270"/>
      <c r="K79" s="280"/>
      <c r="M79" s="62" t="str">
        <f>IF(AND(F79&gt;0.1,$N$78=0),"MOSTRAR","OCULTAR")</f>
        <v>OCULTAR</v>
      </c>
      <c r="N79" s="62"/>
      <c r="O79" s="62"/>
      <c r="P79" s="62"/>
      <c r="Q79" s="62"/>
      <c r="R79" s="62"/>
      <c r="S79" s="62"/>
    </row>
    <row r="80" spans="2:19" ht="18" customHeight="1" x14ac:dyDescent="0.35">
      <c r="B80" s="230"/>
      <c r="C80" s="225"/>
      <c r="D80" s="229"/>
      <c r="E80" s="225"/>
      <c r="F80" s="257">
        <f>IF(K81&gt;1,1,0)</f>
        <v>0</v>
      </c>
      <c r="G80" s="257"/>
      <c r="H80" s="272"/>
      <c r="I80" s="272"/>
      <c r="J80" s="270"/>
      <c r="K80" s="280"/>
      <c r="M80" s="62" t="str">
        <f t="shared" ref="M80:M189" si="6">IF(F80&gt;0.1,"MOSTRAR","OCULTAR")</f>
        <v>OCULTAR</v>
      </c>
      <c r="N80" s="62"/>
      <c r="O80" s="62"/>
      <c r="P80" s="62"/>
      <c r="Q80" s="62"/>
      <c r="R80" s="62"/>
      <c r="S80" s="62"/>
    </row>
    <row r="81" spans="2:19" ht="18" customHeight="1" x14ac:dyDescent="0.35">
      <c r="B81" s="250">
        <f>IF(K81&gt;0,B56+1,B56)</f>
        <v>2</v>
      </c>
      <c r="C81" s="261"/>
      <c r="D81" s="251" t="s">
        <v>654</v>
      </c>
      <c r="E81" s="261"/>
      <c r="F81" s="291">
        <f>IF(K81&gt;1,1,0)</f>
        <v>0</v>
      </c>
      <c r="G81" s="261"/>
      <c r="H81" s="275"/>
      <c r="I81" s="275"/>
      <c r="J81" s="292"/>
      <c r="K81" s="253">
        <f>J82+J88</f>
        <v>0</v>
      </c>
      <c r="L81" s="63"/>
      <c r="M81" s="62" t="str">
        <f>IF(K81&gt;0.1,"MOSTRAR","OCULTAR")</f>
        <v>OCULTAR</v>
      </c>
      <c r="N81" s="62"/>
      <c r="O81" s="62"/>
      <c r="P81" s="62"/>
      <c r="Q81" s="62"/>
      <c r="R81" s="62"/>
      <c r="S81" s="62"/>
    </row>
    <row r="82" spans="2:19" ht="18" customHeight="1" x14ac:dyDescent="0.35">
      <c r="B82" s="230">
        <f>IF(J82&gt;0,B81+0.1,B81)</f>
        <v>2</v>
      </c>
      <c r="C82" s="258"/>
      <c r="D82" s="278" t="s">
        <v>655</v>
      </c>
      <c r="E82" s="258"/>
      <c r="F82" s="285">
        <f>IF(J82&gt;1,1,0)</f>
        <v>0</v>
      </c>
      <c r="G82" s="258"/>
      <c r="H82" s="274"/>
      <c r="I82" s="274"/>
      <c r="J82" s="274">
        <f>SUM(I83:I87)</f>
        <v>0</v>
      </c>
      <c r="K82" s="280"/>
      <c r="M82" s="62" t="str">
        <f>IF(J82&gt;0.1,"MOSTRAR","OCULTAR")</f>
        <v>OCULTAR</v>
      </c>
      <c r="N82" s="62"/>
      <c r="O82" s="62"/>
      <c r="P82" s="62"/>
      <c r="Q82" s="62"/>
      <c r="R82" s="62"/>
      <c r="S82" s="62"/>
    </row>
    <row r="83" spans="2:19" ht="90" customHeight="1" x14ac:dyDescent="0.35">
      <c r="B83" s="544"/>
      <c r="C83" s="293"/>
      <c r="D83" s="235" t="s">
        <v>656</v>
      </c>
      <c r="E83" s="225"/>
      <c r="F83" s="268">
        <f>'PRECIO DEL METRAJE'!E86</f>
        <v>0</v>
      </c>
      <c r="G83" s="225" t="s">
        <v>608</v>
      </c>
      <c r="H83" s="272">
        <f>'PRECIO DEL METRAJE'!K86</f>
        <v>820</v>
      </c>
      <c r="I83" s="272">
        <f>'PRECIO DEL METRAJE'!M86</f>
        <v>0</v>
      </c>
      <c r="J83" s="270"/>
      <c r="K83" s="280"/>
      <c r="M83" s="62" t="str">
        <f t="shared" si="6"/>
        <v>OCULTAR</v>
      </c>
      <c r="N83" s="62"/>
      <c r="O83" s="62"/>
      <c r="P83" s="62"/>
      <c r="Q83" s="62"/>
      <c r="R83" s="62"/>
      <c r="S83" s="62"/>
    </row>
    <row r="84" spans="2:19" ht="94.5" customHeight="1" x14ac:dyDescent="0.35">
      <c r="B84" s="544"/>
      <c r="C84" s="293"/>
      <c r="D84" s="244" t="s">
        <v>657</v>
      </c>
      <c r="E84" s="225"/>
      <c r="F84" s="268">
        <f>'PRECIO DEL METRAJE'!E87</f>
        <v>0</v>
      </c>
      <c r="G84" s="225" t="s">
        <v>608</v>
      </c>
      <c r="H84" s="272">
        <f>'PRECIO DEL METRAJE'!K87</f>
        <v>856</v>
      </c>
      <c r="I84" s="272">
        <f>'PRECIO DEL METRAJE'!M87</f>
        <v>0</v>
      </c>
      <c r="J84" s="270"/>
      <c r="K84" s="280"/>
      <c r="M84" s="62" t="str">
        <f t="shared" si="6"/>
        <v>OCULTAR</v>
      </c>
      <c r="N84" s="62"/>
      <c r="O84" s="62"/>
      <c r="P84" s="62"/>
      <c r="Q84" s="62"/>
      <c r="R84" s="62"/>
      <c r="S84" s="62"/>
    </row>
    <row r="85" spans="2:19" ht="91.5" customHeight="1" x14ac:dyDescent="0.35">
      <c r="B85" s="544"/>
      <c r="C85" s="293"/>
      <c r="D85" s="235" t="s">
        <v>658</v>
      </c>
      <c r="E85" s="225"/>
      <c r="F85" s="268">
        <f>'PRECIO DEL METRAJE'!E88</f>
        <v>0</v>
      </c>
      <c r="G85" s="225" t="s">
        <v>608</v>
      </c>
      <c r="H85" s="272">
        <f>'PRECIO DEL METRAJE'!K88</f>
        <v>850</v>
      </c>
      <c r="I85" s="272">
        <f>'PRECIO DEL METRAJE'!M88</f>
        <v>0</v>
      </c>
      <c r="J85" s="270"/>
      <c r="K85" s="280"/>
      <c r="M85" s="62" t="str">
        <f t="shared" si="6"/>
        <v>OCULTAR</v>
      </c>
      <c r="N85" s="62"/>
      <c r="O85" s="62"/>
      <c r="P85" s="62"/>
      <c r="Q85" s="62"/>
      <c r="R85" s="62"/>
      <c r="S85" s="62"/>
    </row>
    <row r="86" spans="2:19" ht="85.5" customHeight="1" x14ac:dyDescent="0.35">
      <c r="B86" s="544"/>
      <c r="C86" s="293"/>
      <c r="D86" s="235" t="s">
        <v>659</v>
      </c>
      <c r="E86" s="225"/>
      <c r="F86" s="268">
        <f>'PRECIO DEL METRAJE'!E89</f>
        <v>0</v>
      </c>
      <c r="G86" s="225" t="s">
        <v>608</v>
      </c>
      <c r="H86" s="272">
        <f>'PRECIO DEL METRAJE'!K89</f>
        <v>860</v>
      </c>
      <c r="I86" s="272">
        <f>'PRECIO DEL METRAJE'!M89</f>
        <v>0</v>
      </c>
      <c r="J86" s="270"/>
      <c r="K86" s="280"/>
      <c r="M86" s="62" t="str">
        <f t="shared" si="6"/>
        <v>OCULTAR</v>
      </c>
      <c r="N86" s="62"/>
      <c r="O86" s="62"/>
      <c r="P86" s="62"/>
      <c r="Q86" s="62"/>
      <c r="R86" s="62"/>
      <c r="S86" s="62"/>
    </row>
    <row r="87" spans="2:19" ht="18" customHeight="1" x14ac:dyDescent="0.35">
      <c r="B87" s="230"/>
      <c r="C87" s="225"/>
      <c r="D87" s="229" t="str">
        <f>'PRECIO DEL METRAJE'!D90</f>
        <v xml:space="preserve">PUERTA RF EI2 60 1100x2060mm </v>
      </c>
      <c r="E87" s="225"/>
      <c r="F87" s="268">
        <f>'PRECIO DEL METRAJE'!E90</f>
        <v>0</v>
      </c>
      <c r="G87" s="225" t="s">
        <v>608</v>
      </c>
      <c r="H87" s="272">
        <f>'PRECIO DEL METRAJE'!K90</f>
        <v>0</v>
      </c>
      <c r="I87" s="272">
        <f>'PRECIO DEL METRAJE'!M90</f>
        <v>0</v>
      </c>
      <c r="J87" s="270"/>
      <c r="K87" s="280"/>
      <c r="M87" s="62" t="str">
        <f t="shared" si="6"/>
        <v>OCULTAR</v>
      </c>
      <c r="N87" s="62"/>
      <c r="O87" s="62"/>
      <c r="P87" s="62"/>
      <c r="Q87" s="62"/>
      <c r="R87" s="62"/>
      <c r="S87" s="62"/>
    </row>
    <row r="88" spans="2:19" ht="18" customHeight="1" x14ac:dyDescent="0.35">
      <c r="B88" s="230">
        <f>IF(J88&gt;0,B82+0.1,B82)</f>
        <v>2</v>
      </c>
      <c r="C88" s="258"/>
      <c r="D88" s="278" t="s">
        <v>660</v>
      </c>
      <c r="E88" s="258"/>
      <c r="F88" s="285">
        <f>IF(J88&gt;1,1,0)</f>
        <v>0</v>
      </c>
      <c r="G88" s="258"/>
      <c r="H88" s="274"/>
      <c r="I88" s="274"/>
      <c r="J88" s="274">
        <f>SUM(I89:I93)</f>
        <v>0</v>
      </c>
      <c r="K88" s="280"/>
      <c r="M88" s="62" t="str">
        <f>IF(J88&gt;0.1,"MOSTRAR","OCULTAR")</f>
        <v>OCULTAR</v>
      </c>
      <c r="N88" s="62"/>
      <c r="O88" s="62"/>
      <c r="P88" s="62"/>
      <c r="Q88" s="62"/>
      <c r="R88" s="62"/>
      <c r="S88" s="62"/>
    </row>
    <row r="89" spans="2:19" ht="81" customHeight="1" x14ac:dyDescent="0.35">
      <c r="B89" s="544"/>
      <c r="C89" s="293"/>
      <c r="D89" s="235" t="s">
        <v>661</v>
      </c>
      <c r="E89" s="225"/>
      <c r="F89" s="268">
        <f>'PRECIO DEL METRAJE'!E92</f>
        <v>0</v>
      </c>
      <c r="G89" s="225" t="s">
        <v>608</v>
      </c>
      <c r="H89" s="272">
        <f>'PRECIO DEL METRAJE'!K92</f>
        <v>1528</v>
      </c>
      <c r="I89" s="272">
        <f>'PRECIO DEL METRAJE'!M92</f>
        <v>0</v>
      </c>
      <c r="J89" s="270"/>
      <c r="K89" s="280"/>
      <c r="M89" s="62" t="str">
        <f t="shared" si="6"/>
        <v>OCULTAR</v>
      </c>
      <c r="N89" s="62"/>
      <c r="O89" s="62"/>
      <c r="P89" s="62"/>
      <c r="Q89" s="62"/>
      <c r="R89" s="62"/>
      <c r="S89" s="62"/>
    </row>
    <row r="90" spans="2:19" ht="81" customHeight="1" x14ac:dyDescent="0.35">
      <c r="B90" s="544"/>
      <c r="C90" s="293"/>
      <c r="D90" s="244" t="s">
        <v>662</v>
      </c>
      <c r="E90" s="225"/>
      <c r="F90" s="268">
        <f>'PRECIO DEL METRAJE'!E93</f>
        <v>0</v>
      </c>
      <c r="G90" s="225" t="s">
        <v>608</v>
      </c>
      <c r="H90" s="272">
        <f>'PRECIO DEL METRAJE'!K93</f>
        <v>1588</v>
      </c>
      <c r="I90" s="272">
        <f>'PRECIO DEL METRAJE'!M93</f>
        <v>0</v>
      </c>
      <c r="J90" s="270"/>
      <c r="K90" s="280"/>
      <c r="M90" s="62" t="str">
        <f t="shared" si="6"/>
        <v>OCULTAR</v>
      </c>
      <c r="N90" s="62"/>
      <c r="O90" s="62"/>
      <c r="P90" s="62"/>
      <c r="Q90" s="62"/>
      <c r="R90" s="62"/>
      <c r="S90" s="62"/>
    </row>
    <row r="91" spans="2:19" ht="81.75" customHeight="1" x14ac:dyDescent="0.35">
      <c r="B91" s="544"/>
      <c r="C91" s="293"/>
      <c r="D91" s="235" t="s">
        <v>663</v>
      </c>
      <c r="E91" s="225"/>
      <c r="F91" s="268">
        <f>'PRECIO DEL METRAJE'!E94</f>
        <v>0</v>
      </c>
      <c r="G91" s="225" t="s">
        <v>608</v>
      </c>
      <c r="H91" s="272">
        <f>'PRECIO DEL METRAJE'!K94</f>
        <v>1520</v>
      </c>
      <c r="I91" s="272">
        <f>'PRECIO DEL METRAJE'!M94</f>
        <v>0</v>
      </c>
      <c r="J91" s="270"/>
      <c r="K91" s="280"/>
      <c r="M91" s="62" t="str">
        <f t="shared" si="6"/>
        <v>OCULTAR</v>
      </c>
      <c r="N91" s="62"/>
      <c r="O91" s="62"/>
      <c r="P91" s="62"/>
      <c r="Q91" s="62"/>
      <c r="R91" s="62"/>
      <c r="S91" s="62"/>
    </row>
    <row r="92" spans="2:19" ht="84.75" customHeight="1" x14ac:dyDescent="0.35">
      <c r="B92" s="544"/>
      <c r="C92" s="293"/>
      <c r="D92" s="244" t="s">
        <v>664</v>
      </c>
      <c r="E92" s="225"/>
      <c r="F92" s="268">
        <f>'PRECIO DEL METRAJE'!E95</f>
        <v>0</v>
      </c>
      <c r="G92" s="225" t="s">
        <v>608</v>
      </c>
      <c r="H92" s="272">
        <f>'PRECIO DEL METRAJE'!K95</f>
        <v>1660</v>
      </c>
      <c r="I92" s="272">
        <f>'PRECIO DEL METRAJE'!M95</f>
        <v>0</v>
      </c>
      <c r="J92" s="270"/>
      <c r="K92" s="280"/>
      <c r="M92" s="62" t="str">
        <f t="shared" si="6"/>
        <v>OCULTAR</v>
      </c>
      <c r="N92" s="62"/>
      <c r="O92" s="62"/>
      <c r="P92" s="62"/>
      <c r="Q92" s="62"/>
      <c r="R92" s="62"/>
      <c r="S92" s="62"/>
    </row>
    <row r="93" spans="2:19" ht="6" customHeight="1" x14ac:dyDescent="0.35">
      <c r="B93" s="230"/>
      <c r="C93" s="225"/>
      <c r="D93" s="235"/>
      <c r="E93" s="225"/>
      <c r="F93" s="225"/>
      <c r="G93" s="225"/>
      <c r="H93" s="272"/>
      <c r="I93" s="272"/>
      <c r="J93" s="270"/>
      <c r="K93" s="280"/>
      <c r="M93" s="62" t="str">
        <f t="shared" si="6"/>
        <v>OCULTAR</v>
      </c>
      <c r="N93" s="62"/>
      <c r="O93" s="62"/>
      <c r="P93" s="62"/>
      <c r="Q93" s="62"/>
      <c r="R93" s="62"/>
      <c r="S93" s="62"/>
    </row>
    <row r="94" spans="2:19" ht="18.75" customHeight="1" x14ac:dyDescent="0.35">
      <c r="B94" s="250">
        <f>IF(K94&gt;0,B81+1,B81)</f>
        <v>2</v>
      </c>
      <c r="C94" s="261"/>
      <c r="D94" s="251" t="s">
        <v>665</v>
      </c>
      <c r="E94" s="261"/>
      <c r="F94" s="291">
        <f>IF(K94&gt;1,1,0)</f>
        <v>0</v>
      </c>
      <c r="G94" s="261"/>
      <c r="H94" s="275"/>
      <c r="I94" s="275"/>
      <c r="J94" s="292"/>
      <c r="K94" s="253">
        <f>J95+J101</f>
        <v>0</v>
      </c>
      <c r="M94" s="62" t="str">
        <f>IF(K94&gt;0.1,"MOSTRAR","OCULTAR")</f>
        <v>OCULTAR</v>
      </c>
      <c r="N94" s="62"/>
      <c r="O94" s="62"/>
      <c r="P94" s="62"/>
      <c r="Q94" s="62"/>
      <c r="R94" s="62"/>
      <c r="S94" s="62"/>
    </row>
    <row r="95" spans="2:19" ht="15.75" customHeight="1" x14ac:dyDescent="0.35">
      <c r="B95" s="230">
        <f>IF(J95&gt;0,B94+0.1,B94)</f>
        <v>2</v>
      </c>
      <c r="C95" s="258"/>
      <c r="D95" s="278" t="s">
        <v>666</v>
      </c>
      <c r="E95" s="258"/>
      <c r="F95" s="285">
        <f>IF(J95&gt;1,1,0)</f>
        <v>0</v>
      </c>
      <c r="G95" s="258"/>
      <c r="H95" s="274"/>
      <c r="I95" s="274"/>
      <c r="J95" s="274">
        <f>SUM(I96:I100)</f>
        <v>0</v>
      </c>
      <c r="K95" s="280"/>
      <c r="M95" s="62" t="str">
        <f>IF(J95&gt;0.1,"MOSTRAR","OCULTAR")</f>
        <v>OCULTAR</v>
      </c>
      <c r="N95" s="62"/>
      <c r="O95" s="62"/>
      <c r="P95" s="62"/>
      <c r="Q95" s="62"/>
      <c r="R95" s="62"/>
      <c r="S95" s="62"/>
    </row>
    <row r="96" spans="2:19" ht="72.75" customHeight="1" x14ac:dyDescent="0.35">
      <c r="B96" s="544"/>
      <c r="C96" s="293"/>
      <c r="D96" s="235" t="s">
        <v>656</v>
      </c>
      <c r="E96" s="225"/>
      <c r="F96" s="268">
        <f>'PRECIO DEL METRAJE'!E100</f>
        <v>0</v>
      </c>
      <c r="G96" s="225" t="s">
        <v>608</v>
      </c>
      <c r="H96" s="272">
        <f>'PRECIO DEL METRAJE'!K100</f>
        <v>820</v>
      </c>
      <c r="I96" s="272">
        <f>'PRECIO DEL METRAJE'!M100</f>
        <v>0</v>
      </c>
      <c r="J96" s="270"/>
      <c r="K96" s="280"/>
      <c r="M96" s="62" t="str">
        <f t="shared" si="6"/>
        <v>OCULTAR</v>
      </c>
      <c r="N96" s="62"/>
      <c r="O96" s="62"/>
      <c r="P96" s="62"/>
      <c r="Q96" s="62"/>
      <c r="R96" s="62"/>
      <c r="S96" s="62"/>
    </row>
    <row r="97" spans="2:19" ht="78" customHeight="1" x14ac:dyDescent="0.35">
      <c r="B97" s="544"/>
      <c r="C97" s="293"/>
      <c r="D97" s="244" t="s">
        <v>657</v>
      </c>
      <c r="E97" s="225"/>
      <c r="F97" s="268">
        <f>'PRECIO DEL METRAJE'!E101</f>
        <v>0</v>
      </c>
      <c r="G97" s="225" t="s">
        <v>608</v>
      </c>
      <c r="H97" s="272">
        <f>'PRECIO DEL METRAJE'!K101</f>
        <v>856</v>
      </c>
      <c r="I97" s="272">
        <f>'PRECIO DEL METRAJE'!M101</f>
        <v>0</v>
      </c>
      <c r="J97" s="270"/>
      <c r="K97" s="280"/>
      <c r="M97" s="62" t="str">
        <f t="shared" si="6"/>
        <v>OCULTAR</v>
      </c>
      <c r="N97" s="62"/>
      <c r="O97" s="62"/>
      <c r="P97" s="62"/>
      <c r="Q97" s="62"/>
      <c r="R97" s="62"/>
      <c r="S97" s="62"/>
    </row>
    <row r="98" spans="2:19" ht="81.75" customHeight="1" x14ac:dyDescent="0.35">
      <c r="B98" s="544"/>
      <c r="C98" s="293"/>
      <c r="D98" s="235" t="s">
        <v>658</v>
      </c>
      <c r="E98" s="225"/>
      <c r="F98" s="268">
        <f>'PRECIO DEL METRAJE'!E102</f>
        <v>0</v>
      </c>
      <c r="G98" s="225" t="s">
        <v>608</v>
      </c>
      <c r="H98" s="272">
        <f>'PRECIO DEL METRAJE'!K102</f>
        <v>850</v>
      </c>
      <c r="I98" s="272">
        <f>'PRECIO DEL METRAJE'!M102</f>
        <v>0</v>
      </c>
      <c r="J98" s="270"/>
      <c r="K98" s="280"/>
      <c r="M98" s="62" t="str">
        <f t="shared" si="6"/>
        <v>OCULTAR</v>
      </c>
      <c r="N98" s="62"/>
      <c r="O98" s="62"/>
      <c r="P98" s="62"/>
      <c r="Q98" s="62"/>
      <c r="R98" s="62"/>
      <c r="S98" s="62"/>
    </row>
    <row r="99" spans="2:19" ht="90.75" customHeight="1" x14ac:dyDescent="0.35">
      <c r="B99" s="544"/>
      <c r="C99" s="293"/>
      <c r="D99" s="235" t="s">
        <v>659</v>
      </c>
      <c r="E99" s="225"/>
      <c r="F99" s="268">
        <f>'PRECIO DEL METRAJE'!E103</f>
        <v>0</v>
      </c>
      <c r="G99" s="225" t="s">
        <v>608</v>
      </c>
      <c r="H99" s="272">
        <f>'PRECIO DEL METRAJE'!K103</f>
        <v>860</v>
      </c>
      <c r="I99" s="272">
        <f>'PRECIO DEL METRAJE'!M103</f>
        <v>0</v>
      </c>
      <c r="J99" s="270"/>
      <c r="K99" s="280"/>
      <c r="M99" s="62" t="str">
        <f t="shared" si="6"/>
        <v>OCULTAR</v>
      </c>
      <c r="N99" s="62"/>
      <c r="O99" s="62"/>
      <c r="P99" s="62"/>
      <c r="Q99" s="62"/>
      <c r="R99" s="62"/>
      <c r="S99" s="62"/>
    </row>
    <row r="100" spans="2:19" ht="20.25" customHeight="1" x14ac:dyDescent="0.35">
      <c r="B100" s="230"/>
      <c r="C100" s="225"/>
      <c r="D100" s="229" t="str">
        <f>'PRECIO DEL METRAJE'!D102</f>
        <v>PUERTA SIMPLE 700x2200mm color azul SICH</v>
      </c>
      <c r="E100" s="225"/>
      <c r="F100" s="268">
        <f>'PRECIO DEL METRAJE'!E104</f>
        <v>0</v>
      </c>
      <c r="G100" s="225" t="s">
        <v>608</v>
      </c>
      <c r="H100" s="272">
        <f>'PRECIO DEL METRAJE'!K104</f>
        <v>0</v>
      </c>
      <c r="I100" s="272">
        <f>'PRECIO DEL METRAJE'!M104</f>
        <v>0</v>
      </c>
      <c r="J100" s="270"/>
      <c r="K100" s="280"/>
      <c r="M100" s="62" t="str">
        <f t="shared" si="6"/>
        <v>OCULTAR</v>
      </c>
      <c r="N100" s="62"/>
      <c r="O100" s="62"/>
      <c r="P100" s="62"/>
      <c r="Q100" s="62"/>
      <c r="R100" s="62"/>
      <c r="S100" s="62"/>
    </row>
    <row r="101" spans="2:19" ht="18.75" customHeight="1" x14ac:dyDescent="0.35">
      <c r="B101" s="230">
        <f>IF(J101&gt;0,B95+0.1,B95)</f>
        <v>2</v>
      </c>
      <c r="C101" s="258"/>
      <c r="D101" s="278" t="s">
        <v>667</v>
      </c>
      <c r="E101" s="258"/>
      <c r="F101" s="285">
        <f>IF(J101&gt;1,1,0)</f>
        <v>0</v>
      </c>
      <c r="G101" s="258"/>
      <c r="H101" s="274"/>
      <c r="I101" s="274"/>
      <c r="J101" s="274">
        <f>SUM(I102:I106)</f>
        <v>0</v>
      </c>
      <c r="K101" s="280"/>
      <c r="M101" s="62" t="str">
        <f>IF(J101&gt;0.1,"MOSTRAR","OCULTAR")</f>
        <v>OCULTAR</v>
      </c>
      <c r="N101" s="62"/>
      <c r="O101" s="62"/>
      <c r="P101" s="62"/>
      <c r="Q101" s="62"/>
      <c r="R101" s="62"/>
      <c r="S101" s="62"/>
    </row>
    <row r="102" spans="2:19" ht="83.25" customHeight="1" x14ac:dyDescent="0.35">
      <c r="B102" s="544"/>
      <c r="C102" s="293"/>
      <c r="D102" s="235" t="s">
        <v>661</v>
      </c>
      <c r="E102" s="225"/>
      <c r="F102" s="268">
        <f>'PRECIO DEL METRAJE'!E106</f>
        <v>0</v>
      </c>
      <c r="G102" s="225" t="s">
        <v>608</v>
      </c>
      <c r="H102" s="272">
        <f>'PRECIO DEL METRAJE'!K106</f>
        <v>1528</v>
      </c>
      <c r="I102" s="272">
        <f>'PRECIO DEL METRAJE'!M106</f>
        <v>0</v>
      </c>
      <c r="J102" s="270"/>
      <c r="K102" s="280"/>
      <c r="M102" s="62" t="str">
        <f t="shared" si="6"/>
        <v>OCULTAR</v>
      </c>
      <c r="N102" s="62"/>
      <c r="O102" s="62"/>
      <c r="P102" s="62"/>
      <c r="Q102" s="62"/>
      <c r="R102" s="62"/>
      <c r="S102" s="62"/>
    </row>
    <row r="103" spans="2:19" ht="82.5" customHeight="1" x14ac:dyDescent="0.35">
      <c r="B103" s="544"/>
      <c r="C103" s="293"/>
      <c r="D103" s="244" t="s">
        <v>662</v>
      </c>
      <c r="E103" s="225"/>
      <c r="F103" s="268">
        <f>'PRECIO DEL METRAJE'!E107</f>
        <v>0</v>
      </c>
      <c r="G103" s="225" t="s">
        <v>608</v>
      </c>
      <c r="H103" s="272">
        <f>'PRECIO DEL METRAJE'!K107</f>
        <v>1588</v>
      </c>
      <c r="I103" s="272">
        <f>'PRECIO DEL METRAJE'!M107</f>
        <v>0</v>
      </c>
      <c r="J103" s="270"/>
      <c r="K103" s="280"/>
      <c r="M103" s="62" t="str">
        <f t="shared" si="6"/>
        <v>OCULTAR</v>
      </c>
      <c r="N103" s="62"/>
      <c r="O103" s="62"/>
      <c r="P103" s="62"/>
      <c r="Q103" s="62"/>
      <c r="R103" s="62"/>
      <c r="S103" s="62"/>
    </row>
    <row r="104" spans="2:19" ht="92.25" customHeight="1" x14ac:dyDescent="0.35">
      <c r="B104" s="544"/>
      <c r="C104" s="293"/>
      <c r="D104" s="235" t="s">
        <v>663</v>
      </c>
      <c r="E104" s="225"/>
      <c r="F104" s="268">
        <f>'PRECIO DEL METRAJE'!E108</f>
        <v>0</v>
      </c>
      <c r="G104" s="225" t="s">
        <v>608</v>
      </c>
      <c r="H104" s="272">
        <f>'PRECIO DEL METRAJE'!K108</f>
        <v>1520</v>
      </c>
      <c r="I104" s="272">
        <f>'PRECIO DEL METRAJE'!M108</f>
        <v>0</v>
      </c>
      <c r="J104" s="270"/>
      <c r="K104" s="280"/>
      <c r="M104" s="62" t="str">
        <f t="shared" si="6"/>
        <v>OCULTAR</v>
      </c>
      <c r="N104" s="62"/>
      <c r="O104" s="62"/>
      <c r="P104" s="62"/>
      <c r="Q104" s="62"/>
      <c r="R104" s="62"/>
      <c r="S104" s="62"/>
    </row>
    <row r="105" spans="2:19" ht="88.5" customHeight="1" x14ac:dyDescent="0.35">
      <c r="B105" s="544"/>
      <c r="C105" s="293"/>
      <c r="D105" s="244" t="s">
        <v>664</v>
      </c>
      <c r="E105" s="225"/>
      <c r="F105" s="268">
        <f>'PRECIO DEL METRAJE'!E109</f>
        <v>0</v>
      </c>
      <c r="G105" s="225" t="s">
        <v>608</v>
      </c>
      <c r="H105" s="272">
        <f>'PRECIO DEL METRAJE'!K109</f>
        <v>1660</v>
      </c>
      <c r="I105" s="272">
        <f>'PRECIO DEL METRAJE'!M109</f>
        <v>0</v>
      </c>
      <c r="J105" s="270"/>
      <c r="K105" s="280"/>
      <c r="M105" s="62" t="str">
        <f t="shared" si="6"/>
        <v>OCULTAR</v>
      </c>
      <c r="N105" s="62"/>
      <c r="O105" s="62"/>
      <c r="P105" s="62"/>
      <c r="Q105" s="62"/>
      <c r="R105" s="62"/>
      <c r="S105" s="62"/>
    </row>
    <row r="106" spans="2:19" ht="6" customHeight="1" x14ac:dyDescent="0.35">
      <c r="B106" s="230"/>
      <c r="C106" s="225"/>
      <c r="D106" s="235"/>
      <c r="E106" s="225"/>
      <c r="F106" s="225"/>
      <c r="G106" s="225"/>
      <c r="H106" s="272"/>
      <c r="I106" s="272"/>
      <c r="J106" s="270"/>
      <c r="K106" s="280"/>
      <c r="M106" s="62" t="str">
        <f t="shared" si="6"/>
        <v>OCULTAR</v>
      </c>
      <c r="N106" s="62"/>
      <c r="O106" s="62"/>
      <c r="P106" s="62"/>
      <c r="Q106" s="62"/>
      <c r="R106" s="62"/>
      <c r="S106" s="62"/>
    </row>
    <row r="107" spans="2:19" ht="18.75" customHeight="1" x14ac:dyDescent="0.35">
      <c r="B107" s="250">
        <f>IF(K107&gt;0,B94+1,B94)</f>
        <v>2</v>
      </c>
      <c r="C107" s="261"/>
      <c r="D107" s="251" t="s">
        <v>668</v>
      </c>
      <c r="E107" s="261"/>
      <c r="F107" s="291">
        <f>IF(K107&gt;1,1,0)</f>
        <v>0</v>
      </c>
      <c r="G107" s="261"/>
      <c r="H107" s="275"/>
      <c r="I107" s="275"/>
      <c r="J107" s="292"/>
      <c r="K107" s="253">
        <f>J108+J114</f>
        <v>0</v>
      </c>
      <c r="M107" s="62" t="str">
        <f>IF(K107&gt;0.1,"MOSTRAR","OCULTAR")</f>
        <v>OCULTAR</v>
      </c>
      <c r="N107" s="62"/>
      <c r="O107" s="62"/>
      <c r="P107" s="62"/>
      <c r="Q107" s="62"/>
      <c r="R107" s="62"/>
      <c r="S107" s="62"/>
    </row>
    <row r="108" spans="2:19" ht="18.75" customHeight="1" x14ac:dyDescent="0.35">
      <c r="B108" s="230">
        <f>IF(J108&gt;0,B107+0.1,B107)</f>
        <v>2</v>
      </c>
      <c r="C108" s="258"/>
      <c r="D108" s="278" t="s">
        <v>669</v>
      </c>
      <c r="E108" s="258"/>
      <c r="F108" s="285">
        <f>IF(J108&gt;1,1,0)</f>
        <v>0</v>
      </c>
      <c r="G108" s="258"/>
      <c r="H108" s="274"/>
      <c r="I108" s="274"/>
      <c r="J108" s="274">
        <f>SUM(I109:I113)</f>
        <v>0</v>
      </c>
      <c r="K108" s="280"/>
      <c r="M108" s="62" t="str">
        <f>IF(J108&gt;0.1,"MOSTRAR","OCULTAR")</f>
        <v>OCULTAR</v>
      </c>
      <c r="N108" s="62"/>
      <c r="O108" s="62"/>
      <c r="P108" s="62"/>
      <c r="Q108" s="62"/>
      <c r="R108" s="62"/>
      <c r="S108" s="62"/>
    </row>
    <row r="109" spans="2:19" ht="138.75" customHeight="1" x14ac:dyDescent="0.35">
      <c r="B109" s="544"/>
      <c r="C109" s="293"/>
      <c r="D109" s="236" t="s">
        <v>762</v>
      </c>
      <c r="E109" s="225"/>
      <c r="F109" s="268">
        <f>'PRECIO DEL METRAJE'!E114</f>
        <v>0</v>
      </c>
      <c r="G109" s="225" t="s">
        <v>414</v>
      </c>
      <c r="H109" s="272">
        <f>'PRECIO DEL METRAJE'!K114</f>
        <v>820</v>
      </c>
      <c r="I109" s="272">
        <f>'PRECIO DEL METRAJE'!M114</f>
        <v>0</v>
      </c>
      <c r="J109" s="270"/>
      <c r="K109" s="280"/>
      <c r="M109" s="62" t="str">
        <f t="shared" si="6"/>
        <v>OCULTAR</v>
      </c>
      <c r="N109" s="62"/>
      <c r="O109" s="62"/>
      <c r="P109" s="62"/>
      <c r="Q109" s="62"/>
      <c r="R109" s="62"/>
      <c r="S109" s="62"/>
    </row>
    <row r="110" spans="2:19" ht="138.75" customHeight="1" x14ac:dyDescent="0.35">
      <c r="B110" s="544"/>
      <c r="C110" s="293"/>
      <c r="D110" s="236" t="s">
        <v>763</v>
      </c>
      <c r="E110" s="225"/>
      <c r="F110" s="268">
        <f>'PRECIO DEL METRAJE'!E115</f>
        <v>0</v>
      </c>
      <c r="G110" s="225" t="s">
        <v>414</v>
      </c>
      <c r="H110" s="272">
        <f>'PRECIO DEL METRAJE'!K115</f>
        <v>856</v>
      </c>
      <c r="I110" s="272">
        <f>'PRECIO DEL METRAJE'!M115</f>
        <v>0</v>
      </c>
      <c r="J110" s="270"/>
      <c r="K110" s="280"/>
      <c r="M110" s="62" t="str">
        <f t="shared" si="6"/>
        <v>OCULTAR</v>
      </c>
      <c r="N110" s="62"/>
      <c r="O110" s="62"/>
      <c r="P110" s="62"/>
      <c r="Q110" s="62"/>
      <c r="R110" s="62"/>
      <c r="S110" s="62"/>
    </row>
    <row r="111" spans="2:19" ht="138.75" customHeight="1" x14ac:dyDescent="0.35">
      <c r="B111" s="544"/>
      <c r="C111" s="293"/>
      <c r="D111" s="236" t="s">
        <v>764</v>
      </c>
      <c r="E111" s="225"/>
      <c r="F111" s="268">
        <f>'PRECIO DEL METRAJE'!E116</f>
        <v>0</v>
      </c>
      <c r="G111" s="225" t="s">
        <v>414</v>
      </c>
      <c r="H111" s="272">
        <f>'PRECIO DEL METRAJE'!K116</f>
        <v>850</v>
      </c>
      <c r="I111" s="272">
        <f>'PRECIO DEL METRAJE'!M116</f>
        <v>0</v>
      </c>
      <c r="J111" s="270"/>
      <c r="K111" s="280"/>
      <c r="M111" s="62" t="str">
        <f t="shared" si="6"/>
        <v>OCULTAR</v>
      </c>
      <c r="N111" s="62"/>
      <c r="O111" s="62"/>
      <c r="P111" s="62"/>
      <c r="Q111" s="62"/>
      <c r="R111" s="62"/>
      <c r="S111" s="62"/>
    </row>
    <row r="112" spans="2:19" ht="139.5" customHeight="1" x14ac:dyDescent="0.35">
      <c r="B112" s="544"/>
      <c r="C112" s="293"/>
      <c r="D112" s="236" t="s">
        <v>765</v>
      </c>
      <c r="E112" s="225"/>
      <c r="F112" s="268">
        <f>'PRECIO DEL METRAJE'!E117</f>
        <v>0</v>
      </c>
      <c r="G112" s="225" t="s">
        <v>414</v>
      </c>
      <c r="H112" s="272">
        <f>'PRECIO DEL METRAJE'!K117</f>
        <v>860</v>
      </c>
      <c r="I112" s="272">
        <f>'PRECIO DEL METRAJE'!M117</f>
        <v>0</v>
      </c>
      <c r="J112" s="270"/>
      <c r="K112" s="280"/>
      <c r="M112" s="62" t="str">
        <f t="shared" si="6"/>
        <v>OCULTAR</v>
      </c>
      <c r="N112" s="62"/>
      <c r="O112" s="62"/>
      <c r="P112" s="62"/>
      <c r="Q112" s="62"/>
      <c r="R112" s="62"/>
      <c r="S112" s="62"/>
    </row>
    <row r="113" spans="2:19" ht="1.5" customHeight="1" x14ac:dyDescent="0.35">
      <c r="B113" s="230"/>
      <c r="C113" s="225"/>
      <c r="D113" s="229"/>
      <c r="E113" s="225"/>
      <c r="F113" s="225"/>
      <c r="G113" s="225"/>
      <c r="H113" s="272"/>
      <c r="I113" s="272"/>
      <c r="J113" s="270"/>
      <c r="K113" s="280"/>
      <c r="M113" s="62" t="str">
        <f t="shared" si="6"/>
        <v>OCULTAR</v>
      </c>
      <c r="N113" s="62"/>
      <c r="O113" s="62"/>
      <c r="P113" s="62"/>
      <c r="Q113" s="62"/>
      <c r="R113" s="62"/>
      <c r="S113" s="62"/>
    </row>
    <row r="114" spans="2:19" ht="18.75" customHeight="1" x14ac:dyDescent="0.35">
      <c r="B114" s="230">
        <f>IF(J114&gt;0,B108+0.1,B108)</f>
        <v>2</v>
      </c>
      <c r="C114" s="258"/>
      <c r="D114" s="278" t="s">
        <v>670</v>
      </c>
      <c r="E114" s="258"/>
      <c r="F114" s="285">
        <f>IF(J114&gt;1,1,0)</f>
        <v>0</v>
      </c>
      <c r="G114" s="258"/>
      <c r="H114" s="274"/>
      <c r="I114" s="274"/>
      <c r="J114" s="274">
        <f>SUM(I115:I119)</f>
        <v>0</v>
      </c>
      <c r="K114" s="280"/>
      <c r="M114" s="62" t="str">
        <f>IF(J114&gt;0.1,"MOSTRAR","OCULTAR")</f>
        <v>OCULTAR</v>
      </c>
      <c r="N114" s="62"/>
      <c r="O114" s="62"/>
      <c r="P114" s="62"/>
      <c r="Q114" s="62"/>
      <c r="R114" s="62"/>
      <c r="S114" s="62"/>
    </row>
    <row r="115" spans="2:19" ht="106.5" customHeight="1" x14ac:dyDescent="0.35">
      <c r="B115" s="544"/>
      <c r="C115" s="293"/>
      <c r="D115" s="235" t="s">
        <v>766</v>
      </c>
      <c r="E115" s="225"/>
      <c r="F115" s="268">
        <f>'PRECIO DEL METRAJE'!E120</f>
        <v>0</v>
      </c>
      <c r="G115" s="225" t="s">
        <v>414</v>
      </c>
      <c r="H115" s="272">
        <f>'PRECIO DEL METRAJE'!K120</f>
        <v>1528</v>
      </c>
      <c r="I115" s="272">
        <f>'PRECIO DEL METRAJE'!M120</f>
        <v>0</v>
      </c>
      <c r="J115" s="270"/>
      <c r="K115" s="280"/>
      <c r="M115" s="62" t="str">
        <f t="shared" si="6"/>
        <v>OCULTAR</v>
      </c>
      <c r="N115" s="62"/>
      <c r="O115" s="62"/>
      <c r="P115" s="62"/>
      <c r="Q115" s="62"/>
      <c r="R115" s="62"/>
      <c r="S115" s="62"/>
    </row>
    <row r="116" spans="2:19" ht="107.25" customHeight="1" x14ac:dyDescent="0.35">
      <c r="B116" s="544"/>
      <c r="C116" s="293"/>
      <c r="D116" s="235" t="s">
        <v>767</v>
      </c>
      <c r="E116" s="225"/>
      <c r="F116" s="268">
        <f>'PRECIO DEL METRAJE'!E121</f>
        <v>0</v>
      </c>
      <c r="G116" s="225" t="s">
        <v>414</v>
      </c>
      <c r="H116" s="272">
        <f>'PRECIO DEL METRAJE'!K121</f>
        <v>1588</v>
      </c>
      <c r="I116" s="272">
        <f>'PRECIO DEL METRAJE'!M121</f>
        <v>0</v>
      </c>
      <c r="J116" s="270"/>
      <c r="K116" s="280"/>
      <c r="M116" s="62" t="str">
        <f t="shared" si="6"/>
        <v>OCULTAR</v>
      </c>
      <c r="N116" s="62"/>
      <c r="O116" s="62"/>
      <c r="P116" s="62"/>
      <c r="Q116" s="62"/>
      <c r="R116" s="62"/>
      <c r="S116" s="62"/>
    </row>
    <row r="117" spans="2:19" ht="106.5" customHeight="1" x14ac:dyDescent="0.35">
      <c r="B117" s="544"/>
      <c r="C117" s="293"/>
      <c r="D117" s="235" t="s">
        <v>768</v>
      </c>
      <c r="E117" s="225"/>
      <c r="F117" s="268">
        <f>'PRECIO DEL METRAJE'!E122</f>
        <v>0</v>
      </c>
      <c r="G117" s="225" t="s">
        <v>414</v>
      </c>
      <c r="H117" s="272">
        <f>'PRECIO DEL METRAJE'!K122</f>
        <v>1520</v>
      </c>
      <c r="I117" s="272">
        <f>'PRECIO DEL METRAJE'!M122</f>
        <v>0</v>
      </c>
      <c r="J117" s="270"/>
      <c r="K117" s="280"/>
      <c r="M117" s="62" t="str">
        <f t="shared" si="6"/>
        <v>OCULTAR</v>
      </c>
      <c r="N117" s="62"/>
      <c r="O117" s="62"/>
      <c r="P117" s="62"/>
      <c r="Q117" s="62"/>
      <c r="R117" s="62"/>
      <c r="S117" s="62"/>
    </row>
    <row r="118" spans="2:19" ht="105.75" customHeight="1" x14ac:dyDescent="0.35">
      <c r="B118" s="544"/>
      <c r="C118" s="293"/>
      <c r="D118" s="235" t="s">
        <v>769</v>
      </c>
      <c r="E118" s="225"/>
      <c r="F118" s="268">
        <f>'PRECIO DEL METRAJE'!E123</f>
        <v>0</v>
      </c>
      <c r="G118" s="225" t="s">
        <v>414</v>
      </c>
      <c r="H118" s="272">
        <f>'PRECIO DEL METRAJE'!K123</f>
        <v>1660</v>
      </c>
      <c r="I118" s="272">
        <f>'PRECIO DEL METRAJE'!M123</f>
        <v>0</v>
      </c>
      <c r="J118" s="270"/>
      <c r="K118" s="280"/>
      <c r="M118" s="62" t="str">
        <f t="shared" si="6"/>
        <v>OCULTAR</v>
      </c>
      <c r="N118" s="62"/>
      <c r="O118" s="62"/>
      <c r="P118" s="62"/>
      <c r="Q118" s="62"/>
      <c r="R118" s="62"/>
      <c r="S118" s="62"/>
    </row>
    <row r="119" spans="2:19" ht="6" customHeight="1" x14ac:dyDescent="0.35">
      <c r="B119" s="230"/>
      <c r="C119" s="225"/>
      <c r="D119" s="235"/>
      <c r="E119" s="225"/>
      <c r="F119" s="225"/>
      <c r="G119" s="225"/>
      <c r="H119" s="272"/>
      <c r="I119" s="272"/>
      <c r="J119" s="270"/>
      <c r="K119" s="280"/>
      <c r="M119" s="62" t="str">
        <f t="shared" si="6"/>
        <v>OCULTAR</v>
      </c>
      <c r="N119" s="62"/>
      <c r="O119" s="62"/>
      <c r="P119" s="62"/>
      <c r="Q119" s="62"/>
      <c r="R119" s="62"/>
      <c r="S119" s="62"/>
    </row>
    <row r="120" spans="2:19" ht="18" customHeight="1" x14ac:dyDescent="0.35">
      <c r="B120" s="250">
        <f>IF(K120&gt;0,B107+1,B107)</f>
        <v>2</v>
      </c>
      <c r="C120" s="261"/>
      <c r="D120" s="251" t="s">
        <v>671</v>
      </c>
      <c r="E120" s="261"/>
      <c r="F120" s="291">
        <f>IF(K120&gt;1,1,0)</f>
        <v>0</v>
      </c>
      <c r="G120" s="261"/>
      <c r="H120" s="275"/>
      <c r="I120" s="275"/>
      <c r="J120" s="292"/>
      <c r="K120" s="253">
        <f>SUM(I122:I143)</f>
        <v>0</v>
      </c>
      <c r="M120" s="62" t="str">
        <f>IF(K120&gt;0.1,"MOSTRAR","OCULTAR")</f>
        <v>OCULTAR</v>
      </c>
      <c r="N120" s="62"/>
      <c r="O120" s="62"/>
      <c r="P120" s="62"/>
      <c r="Q120" s="62"/>
      <c r="R120" s="62"/>
      <c r="S120" s="62"/>
    </row>
    <row r="121" spans="2:19" ht="18" customHeight="1" x14ac:dyDescent="0.35">
      <c r="B121" s="230">
        <f>IF(J121&gt;0,B120+0.1,B120)</f>
        <v>2</v>
      </c>
      <c r="C121" s="259"/>
      <c r="D121" s="262" t="s">
        <v>671</v>
      </c>
      <c r="E121" s="259"/>
      <c r="F121" s="294">
        <f>IF(J121&gt;1,1,0)</f>
        <v>0</v>
      </c>
      <c r="G121" s="294"/>
      <c r="H121" s="294"/>
      <c r="I121" s="277"/>
      <c r="J121" s="277">
        <f>SUM(I122:I144)</f>
        <v>0</v>
      </c>
      <c r="K121" s="280"/>
      <c r="M121" s="62" t="str">
        <f>IF(J121&gt;0.1,"MOSTRAR","OCULTAR")</f>
        <v>OCULTAR</v>
      </c>
      <c r="N121" s="62"/>
      <c r="O121" s="62"/>
      <c r="P121" s="62"/>
      <c r="Q121" s="62"/>
      <c r="R121" s="62"/>
      <c r="S121" s="62"/>
    </row>
    <row r="122" spans="2:19" ht="21.75" customHeight="1" x14ac:dyDescent="0.35">
      <c r="B122" s="230"/>
      <c r="C122" s="641"/>
      <c r="D122" s="229" t="s">
        <v>672</v>
      </c>
      <c r="E122" s="225"/>
      <c r="F122" s="268">
        <f>'PRECIO DEL METRAJE'!E126</f>
        <v>0</v>
      </c>
      <c r="G122" s="225" t="s">
        <v>608</v>
      </c>
      <c r="H122" s="272">
        <f>'PRECIO DEL METRAJE'!K126</f>
        <v>36</v>
      </c>
      <c r="I122" s="272">
        <f>H122*F122</f>
        <v>0</v>
      </c>
      <c r="J122" s="270"/>
      <c r="K122" s="280"/>
      <c r="M122" s="62" t="str">
        <f t="shared" si="6"/>
        <v>OCULTAR</v>
      </c>
      <c r="N122" s="62"/>
      <c r="O122" s="62"/>
      <c r="P122" s="62"/>
      <c r="Q122" s="62"/>
      <c r="R122" s="62"/>
      <c r="S122" s="62"/>
    </row>
    <row r="123" spans="2:19" ht="60.75" customHeight="1" x14ac:dyDescent="0.35">
      <c r="B123" s="230"/>
      <c r="C123" s="641"/>
      <c r="D123" s="229" t="s">
        <v>673</v>
      </c>
      <c r="E123" s="225"/>
      <c r="F123" s="268">
        <f>'PRECIO DEL METRAJE'!E127</f>
        <v>0</v>
      </c>
      <c r="G123" s="225" t="s">
        <v>608</v>
      </c>
      <c r="H123" s="272">
        <f>'PRECIO DEL METRAJE'!K127</f>
        <v>53</v>
      </c>
      <c r="I123" s="272">
        <f t="shared" ref="I123:I144" si="7">H123*F123</f>
        <v>0</v>
      </c>
      <c r="J123" s="270"/>
      <c r="K123" s="280"/>
      <c r="M123" s="62" t="str">
        <f t="shared" si="6"/>
        <v>OCULTAR</v>
      </c>
      <c r="N123" s="62"/>
      <c r="O123" s="62"/>
      <c r="P123" s="62"/>
      <c r="Q123" s="62"/>
      <c r="R123" s="62"/>
      <c r="S123" s="62"/>
    </row>
    <row r="124" spans="2:19" ht="96" customHeight="1" x14ac:dyDescent="0.35">
      <c r="B124" s="230"/>
      <c r="C124" s="225"/>
      <c r="D124" s="235" t="s">
        <v>674</v>
      </c>
      <c r="E124" s="225"/>
      <c r="F124" s="268">
        <f>'PRECIO DEL METRAJE'!E128</f>
        <v>0</v>
      </c>
      <c r="G124" s="225" t="s">
        <v>608</v>
      </c>
      <c r="H124" s="272">
        <f>'PRECIO DEL METRAJE'!K128</f>
        <v>165.7</v>
      </c>
      <c r="I124" s="272">
        <f t="shared" si="7"/>
        <v>0</v>
      </c>
      <c r="J124" s="270"/>
      <c r="K124" s="280"/>
      <c r="M124" s="62" t="str">
        <f t="shared" si="6"/>
        <v>OCULTAR</v>
      </c>
      <c r="N124" s="62"/>
      <c r="O124" s="62"/>
      <c r="P124" s="62"/>
      <c r="Q124" s="62"/>
      <c r="R124" s="62"/>
      <c r="S124" s="62"/>
    </row>
    <row r="125" spans="2:19" ht="83.25" customHeight="1" x14ac:dyDescent="0.35">
      <c r="B125" s="230"/>
      <c r="C125" s="423"/>
      <c r="D125" s="235" t="s">
        <v>675</v>
      </c>
      <c r="E125" s="225"/>
      <c r="F125" s="268">
        <f>'PRECIO DEL METRAJE'!E129</f>
        <v>0</v>
      </c>
      <c r="G125" s="225" t="s">
        <v>608</v>
      </c>
      <c r="H125" s="272">
        <f>'PRECIO DEL METRAJE'!K129</f>
        <v>216</v>
      </c>
      <c r="I125" s="272">
        <f t="shared" si="7"/>
        <v>0</v>
      </c>
      <c r="J125" s="270"/>
      <c r="K125" s="280"/>
      <c r="M125" s="62" t="str">
        <f t="shared" si="6"/>
        <v>OCULTAR</v>
      </c>
      <c r="N125" s="62"/>
      <c r="O125" s="62"/>
      <c r="P125" s="62"/>
      <c r="Q125" s="62"/>
      <c r="R125" s="62"/>
      <c r="S125" s="62"/>
    </row>
    <row r="126" spans="2:19" ht="18" customHeight="1" x14ac:dyDescent="0.35">
      <c r="B126" s="230"/>
      <c r="C126" s="423"/>
      <c r="D126" s="229" t="s">
        <v>676</v>
      </c>
      <c r="E126" s="225"/>
      <c r="F126" s="268">
        <f>'PRECIO DEL METRAJE'!E130</f>
        <v>0</v>
      </c>
      <c r="G126" s="225" t="s">
        <v>608</v>
      </c>
      <c r="H126" s="272">
        <f>'PRECIO DEL METRAJE'!K130</f>
        <v>36</v>
      </c>
      <c r="I126" s="272">
        <f t="shared" si="7"/>
        <v>0</v>
      </c>
      <c r="J126" s="270"/>
      <c r="K126" s="280"/>
      <c r="M126" s="62" t="str">
        <f t="shared" si="6"/>
        <v>OCULTAR</v>
      </c>
      <c r="N126" s="62"/>
      <c r="O126" s="62"/>
      <c r="P126" s="62"/>
      <c r="Q126" s="62"/>
      <c r="R126" s="62"/>
      <c r="S126" s="62"/>
    </row>
    <row r="127" spans="2:19" ht="18" customHeight="1" x14ac:dyDescent="0.35">
      <c r="B127" s="230"/>
      <c r="C127" s="423"/>
      <c r="D127" s="229" t="s">
        <v>677</v>
      </c>
      <c r="E127" s="225"/>
      <c r="F127" s="268">
        <f>'PRECIO DEL METRAJE'!E131</f>
        <v>0</v>
      </c>
      <c r="G127" s="225" t="s">
        <v>608</v>
      </c>
      <c r="H127" s="272">
        <f>'PRECIO DEL METRAJE'!K131</f>
        <v>90</v>
      </c>
      <c r="I127" s="272">
        <f t="shared" si="7"/>
        <v>0</v>
      </c>
      <c r="J127" s="270"/>
      <c r="K127" s="280"/>
      <c r="M127" s="62" t="str">
        <f t="shared" si="6"/>
        <v>OCULTAR</v>
      </c>
      <c r="N127" s="62"/>
      <c r="O127" s="62"/>
      <c r="P127" s="62"/>
      <c r="Q127" s="62"/>
      <c r="R127" s="62"/>
      <c r="S127" s="62"/>
    </row>
    <row r="128" spans="2:19" ht="68.5" customHeight="1" x14ac:dyDescent="0.35">
      <c r="B128" s="230"/>
      <c r="C128" s="423"/>
      <c r="D128" s="229" t="s">
        <v>678</v>
      </c>
      <c r="E128" s="225"/>
      <c r="F128" s="268">
        <f>'PRECIO DEL METRAJE'!E132</f>
        <v>0</v>
      </c>
      <c r="G128" s="225" t="s">
        <v>608</v>
      </c>
      <c r="H128" s="272">
        <f>'PRECIO DEL METRAJE'!K132</f>
        <v>79</v>
      </c>
      <c r="I128" s="272">
        <f t="shared" si="7"/>
        <v>0</v>
      </c>
      <c r="J128" s="270"/>
      <c r="K128" s="280"/>
      <c r="M128" s="62" t="str">
        <f t="shared" si="6"/>
        <v>OCULTAR</v>
      </c>
      <c r="N128" s="62"/>
      <c r="O128" s="62"/>
      <c r="P128" s="62"/>
      <c r="Q128" s="62"/>
      <c r="R128" s="62"/>
      <c r="S128" s="62"/>
    </row>
    <row r="129" spans="2:19" ht="55.5" customHeight="1" x14ac:dyDescent="0.35">
      <c r="B129" s="230"/>
      <c r="C129" s="423"/>
      <c r="D129" s="229" t="s">
        <v>679</v>
      </c>
      <c r="E129" s="225"/>
      <c r="F129" s="268">
        <f>'PRECIO DEL METRAJE'!E133</f>
        <v>0</v>
      </c>
      <c r="G129" s="225" t="s">
        <v>608</v>
      </c>
      <c r="H129" s="272">
        <f>'PRECIO DEL METRAJE'!K133</f>
        <v>104.2</v>
      </c>
      <c r="I129" s="272">
        <f t="shared" si="7"/>
        <v>0</v>
      </c>
      <c r="J129" s="270"/>
      <c r="K129" s="280"/>
      <c r="M129" s="62" t="str">
        <f t="shared" si="6"/>
        <v>OCULTAR</v>
      </c>
      <c r="N129" s="62"/>
      <c r="O129" s="62"/>
      <c r="P129" s="62"/>
      <c r="Q129" s="62"/>
      <c r="R129" s="62"/>
      <c r="S129" s="62"/>
    </row>
    <row r="130" spans="2:19" ht="66" customHeight="1" x14ac:dyDescent="0.35">
      <c r="B130" s="230"/>
      <c r="C130" s="423"/>
      <c r="D130" s="229" t="s">
        <v>680</v>
      </c>
      <c r="E130" s="225"/>
      <c r="F130" s="268">
        <f>'PRECIO DEL METRAJE'!E134</f>
        <v>0</v>
      </c>
      <c r="G130" s="225" t="s">
        <v>608</v>
      </c>
      <c r="H130" s="272">
        <f>'PRECIO DEL METRAJE'!K134</f>
        <v>122.4</v>
      </c>
      <c r="I130" s="272">
        <f t="shared" si="7"/>
        <v>0</v>
      </c>
      <c r="J130" s="270"/>
      <c r="K130" s="280"/>
      <c r="M130" s="62" t="str">
        <f t="shared" si="6"/>
        <v>OCULTAR</v>
      </c>
      <c r="N130" s="62"/>
      <c r="O130" s="62"/>
      <c r="P130" s="62"/>
      <c r="Q130" s="62"/>
      <c r="R130" s="62"/>
      <c r="S130" s="62"/>
    </row>
    <row r="131" spans="2:19" ht="87.75" customHeight="1" x14ac:dyDescent="0.35">
      <c r="B131" s="230"/>
      <c r="C131" s="423"/>
      <c r="D131" s="229" t="s">
        <v>681</v>
      </c>
      <c r="E131" s="225"/>
      <c r="F131" s="268">
        <f>'PRECIO DEL METRAJE'!E135</f>
        <v>0</v>
      </c>
      <c r="G131" s="225" t="s">
        <v>608</v>
      </c>
      <c r="H131" s="272">
        <f>'PRECIO DEL METRAJE'!K135</f>
        <v>136</v>
      </c>
      <c r="I131" s="272">
        <f t="shared" si="7"/>
        <v>0</v>
      </c>
      <c r="J131" s="270"/>
      <c r="K131" s="280"/>
      <c r="M131" s="62" t="str">
        <f t="shared" si="6"/>
        <v>OCULTAR</v>
      </c>
      <c r="N131" s="62"/>
      <c r="O131" s="62"/>
      <c r="P131" s="62"/>
      <c r="Q131" s="62"/>
      <c r="R131" s="62"/>
      <c r="S131" s="62"/>
    </row>
    <row r="132" spans="2:19" ht="18" customHeight="1" x14ac:dyDescent="0.35">
      <c r="B132" s="230"/>
      <c r="C132" s="423"/>
      <c r="D132" s="229" t="s">
        <v>682</v>
      </c>
      <c r="E132" s="225"/>
      <c r="F132" s="268">
        <f>'PRECIO DEL METRAJE'!E136</f>
        <v>0</v>
      </c>
      <c r="G132" s="225" t="s">
        <v>608</v>
      </c>
      <c r="H132" s="272">
        <f>'PRECIO DEL METRAJE'!K136</f>
        <v>0</v>
      </c>
      <c r="I132" s="272">
        <f t="shared" si="7"/>
        <v>0</v>
      </c>
      <c r="J132" s="270"/>
      <c r="K132" s="280"/>
      <c r="M132" s="62" t="str">
        <f t="shared" si="6"/>
        <v>OCULTAR</v>
      </c>
      <c r="N132" s="62"/>
      <c r="O132" s="62"/>
      <c r="P132" s="62"/>
      <c r="Q132" s="62"/>
      <c r="R132" s="62"/>
      <c r="S132" s="62"/>
    </row>
    <row r="133" spans="2:19" ht="75" customHeight="1" x14ac:dyDescent="0.35">
      <c r="B133" s="230"/>
      <c r="C133" s="423"/>
      <c r="D133" s="229" t="s">
        <v>683</v>
      </c>
      <c r="E133" s="225"/>
      <c r="F133" s="268">
        <f>'PRECIO DEL METRAJE'!E137</f>
        <v>0</v>
      </c>
      <c r="G133" s="225" t="s">
        <v>608</v>
      </c>
      <c r="H133" s="272">
        <f>'PRECIO DEL METRAJE'!K137</f>
        <v>241</v>
      </c>
      <c r="I133" s="272">
        <f t="shared" si="7"/>
        <v>0</v>
      </c>
      <c r="J133" s="270"/>
      <c r="K133" s="280"/>
      <c r="M133" s="62" t="str">
        <f t="shared" si="6"/>
        <v>OCULTAR</v>
      </c>
      <c r="N133" s="62"/>
      <c r="O133" s="62"/>
      <c r="P133" s="62"/>
      <c r="Q133" s="62"/>
      <c r="R133" s="62"/>
      <c r="S133" s="62"/>
    </row>
    <row r="134" spans="2:19" ht="18" customHeight="1" x14ac:dyDescent="0.35">
      <c r="B134" s="230"/>
      <c r="C134" s="423"/>
      <c r="D134" s="229" t="s">
        <v>684</v>
      </c>
      <c r="E134" s="225"/>
      <c r="F134" s="268">
        <f>'PRECIO DEL METRAJE'!E138</f>
        <v>0</v>
      </c>
      <c r="G134" s="225" t="s">
        <v>608</v>
      </c>
      <c r="H134" s="272">
        <f>'PRECIO DEL METRAJE'!K138</f>
        <v>0</v>
      </c>
      <c r="I134" s="272">
        <f t="shared" si="7"/>
        <v>0</v>
      </c>
      <c r="J134" s="270"/>
      <c r="K134" s="280"/>
      <c r="M134" s="62" t="str">
        <f t="shared" si="6"/>
        <v>OCULTAR</v>
      </c>
      <c r="N134" s="62"/>
      <c r="O134" s="62"/>
      <c r="P134" s="62"/>
      <c r="Q134" s="62"/>
      <c r="R134" s="62"/>
      <c r="S134" s="62"/>
    </row>
    <row r="135" spans="2:19" ht="18" customHeight="1" x14ac:dyDescent="0.35">
      <c r="B135" s="230"/>
      <c r="C135" s="423"/>
      <c r="D135" s="229" t="s">
        <v>685</v>
      </c>
      <c r="E135" s="225"/>
      <c r="F135" s="268">
        <f>'PRECIO DEL METRAJE'!E139</f>
        <v>0</v>
      </c>
      <c r="G135" s="225" t="s">
        <v>608</v>
      </c>
      <c r="H135" s="272">
        <f>'PRECIO DEL METRAJE'!K139</f>
        <v>340.5</v>
      </c>
      <c r="I135" s="272">
        <f t="shared" si="7"/>
        <v>0</v>
      </c>
      <c r="J135" s="270"/>
      <c r="K135" s="280"/>
      <c r="M135" s="62" t="str">
        <f t="shared" si="6"/>
        <v>OCULTAR</v>
      </c>
      <c r="N135" s="62"/>
      <c r="O135" s="62"/>
      <c r="P135" s="62"/>
      <c r="Q135" s="62"/>
      <c r="R135" s="62"/>
      <c r="S135" s="62"/>
    </row>
    <row r="136" spans="2:19" ht="78.75" customHeight="1" x14ac:dyDescent="0.35">
      <c r="B136" s="230"/>
      <c r="C136" s="423"/>
      <c r="D136" s="229" t="s">
        <v>686</v>
      </c>
      <c r="E136" s="225"/>
      <c r="F136" s="268">
        <f>'PRECIO DEL METRAJE'!E140</f>
        <v>0</v>
      </c>
      <c r="G136" s="225" t="s">
        <v>608</v>
      </c>
      <c r="H136" s="272">
        <f>'PRECIO DEL METRAJE'!K140</f>
        <v>0</v>
      </c>
      <c r="I136" s="272">
        <f t="shared" si="7"/>
        <v>0</v>
      </c>
      <c r="J136" s="270"/>
      <c r="K136" s="280"/>
      <c r="L136" s="61"/>
      <c r="M136" s="62" t="str">
        <f t="shared" si="6"/>
        <v>OCULTAR</v>
      </c>
      <c r="N136" s="62"/>
      <c r="O136" s="62"/>
      <c r="P136" s="62"/>
      <c r="Q136" s="62"/>
      <c r="R136" s="62"/>
      <c r="S136" s="62"/>
    </row>
    <row r="137" spans="2:19" ht="82.5" customHeight="1" x14ac:dyDescent="0.35">
      <c r="B137" s="230"/>
      <c r="C137" s="423"/>
      <c r="D137" s="229" t="s">
        <v>687</v>
      </c>
      <c r="E137" s="225"/>
      <c r="F137" s="268">
        <f>'PRECIO DEL METRAJE'!E141</f>
        <v>0</v>
      </c>
      <c r="G137" s="225" t="s">
        <v>608</v>
      </c>
      <c r="H137" s="272">
        <f>'PRECIO DEL METRAJE'!K141</f>
        <v>78.399999999999991</v>
      </c>
      <c r="I137" s="272">
        <f t="shared" si="7"/>
        <v>0</v>
      </c>
      <c r="J137" s="270"/>
      <c r="K137" s="280"/>
      <c r="M137" s="62" t="str">
        <f t="shared" si="6"/>
        <v>OCULTAR</v>
      </c>
      <c r="N137" s="62"/>
      <c r="O137" s="62"/>
      <c r="P137" s="62"/>
      <c r="Q137" s="62"/>
      <c r="R137" s="62"/>
      <c r="S137" s="62"/>
    </row>
    <row r="138" spans="2:19" ht="75" customHeight="1" x14ac:dyDescent="0.35">
      <c r="B138" s="230"/>
      <c r="C138" s="423"/>
      <c r="D138" s="229" t="s">
        <v>688</v>
      </c>
      <c r="E138" s="225"/>
      <c r="F138" s="268">
        <f>'PRECIO DEL METRAJE'!E142</f>
        <v>0</v>
      </c>
      <c r="G138" s="225" t="s">
        <v>608</v>
      </c>
      <c r="H138" s="272">
        <f>'PRECIO DEL METRAJE'!K142</f>
        <v>90.699999999999989</v>
      </c>
      <c r="I138" s="272">
        <f t="shared" si="7"/>
        <v>0</v>
      </c>
      <c r="J138" s="270"/>
      <c r="K138" s="280"/>
      <c r="M138" s="62" t="str">
        <f t="shared" si="6"/>
        <v>OCULTAR</v>
      </c>
      <c r="N138" s="62"/>
      <c r="O138" s="62"/>
      <c r="P138" s="62"/>
      <c r="Q138" s="62"/>
      <c r="R138" s="62"/>
      <c r="S138" s="62"/>
    </row>
    <row r="139" spans="2:19" ht="75.75" customHeight="1" x14ac:dyDescent="0.35">
      <c r="B139" s="230"/>
      <c r="C139" s="423"/>
      <c r="D139" s="229" t="s">
        <v>689</v>
      </c>
      <c r="E139" s="225"/>
      <c r="F139" s="268">
        <f>'PRECIO DEL METRAJE'!E143</f>
        <v>0</v>
      </c>
      <c r="G139" s="225" t="s">
        <v>608</v>
      </c>
      <c r="H139" s="272">
        <f>'PRECIO DEL METRAJE'!K143</f>
        <v>116.19999999999999</v>
      </c>
      <c r="I139" s="272">
        <f t="shared" si="7"/>
        <v>0</v>
      </c>
      <c r="J139" s="270"/>
      <c r="K139" s="280"/>
      <c r="M139" s="62" t="str">
        <f t="shared" si="6"/>
        <v>OCULTAR</v>
      </c>
      <c r="N139" s="62"/>
      <c r="O139" s="62"/>
      <c r="P139" s="62"/>
      <c r="Q139" s="62"/>
      <c r="R139" s="62"/>
      <c r="S139" s="62"/>
    </row>
    <row r="140" spans="2:19" ht="91.5" customHeight="1" x14ac:dyDescent="0.35">
      <c r="B140" s="230"/>
      <c r="C140" s="423"/>
      <c r="D140" s="229" t="s">
        <v>690</v>
      </c>
      <c r="E140" s="225"/>
      <c r="F140" s="268">
        <f>'PRECIO DEL METRAJE'!E144</f>
        <v>0</v>
      </c>
      <c r="G140" s="225" t="s">
        <v>608</v>
      </c>
      <c r="H140" s="272">
        <f>'PRECIO DEL METRAJE'!K144</f>
        <v>330</v>
      </c>
      <c r="I140" s="272">
        <f t="shared" si="7"/>
        <v>0</v>
      </c>
      <c r="J140" s="270"/>
      <c r="K140" s="280"/>
      <c r="M140" s="62" t="str">
        <f t="shared" si="6"/>
        <v>OCULTAR</v>
      </c>
      <c r="N140" s="62"/>
      <c r="O140" s="62"/>
      <c r="P140" s="62"/>
      <c r="Q140" s="62"/>
      <c r="R140" s="62"/>
      <c r="S140" s="62"/>
    </row>
    <row r="141" spans="2:19" ht="18" customHeight="1" x14ac:dyDescent="0.35">
      <c r="B141" s="230"/>
      <c r="C141" s="423"/>
      <c r="D141" s="229" t="s">
        <v>691</v>
      </c>
      <c r="E141" s="225"/>
      <c r="F141" s="268">
        <f>'PRECIO DEL METRAJE'!E145</f>
        <v>0</v>
      </c>
      <c r="G141" s="225" t="s">
        <v>608</v>
      </c>
      <c r="H141" s="272">
        <f>'PRECIO DEL METRAJE'!K145</f>
        <v>0</v>
      </c>
      <c r="I141" s="272">
        <f t="shared" si="7"/>
        <v>0</v>
      </c>
      <c r="J141" s="270"/>
      <c r="K141" s="280"/>
      <c r="M141" s="62" t="str">
        <f t="shared" si="6"/>
        <v>OCULTAR</v>
      </c>
      <c r="N141" s="62"/>
      <c r="O141" s="62"/>
      <c r="P141" s="62"/>
      <c r="Q141" s="62"/>
      <c r="R141" s="62"/>
      <c r="S141" s="62"/>
    </row>
    <row r="142" spans="2:19" ht="18" customHeight="1" x14ac:dyDescent="0.35">
      <c r="B142" s="230"/>
      <c r="C142" s="423"/>
      <c r="D142" s="229" t="s">
        <v>692</v>
      </c>
      <c r="E142" s="225"/>
      <c r="F142" s="268">
        <f>'PRECIO DEL METRAJE'!E146</f>
        <v>0</v>
      </c>
      <c r="G142" s="225" t="s">
        <v>608</v>
      </c>
      <c r="H142" s="272">
        <f>'PRECIO DEL METRAJE'!K146</f>
        <v>0</v>
      </c>
      <c r="I142" s="272">
        <f t="shared" si="7"/>
        <v>0</v>
      </c>
      <c r="J142" s="270"/>
      <c r="K142" s="280"/>
      <c r="M142" s="62" t="str">
        <f t="shared" si="6"/>
        <v>OCULTAR</v>
      </c>
      <c r="N142" s="62"/>
      <c r="O142" s="62"/>
      <c r="P142" s="62"/>
      <c r="Q142" s="62"/>
      <c r="R142" s="62"/>
      <c r="S142" s="62"/>
    </row>
    <row r="143" spans="2:19" ht="18" customHeight="1" x14ac:dyDescent="0.35">
      <c r="B143" s="230"/>
      <c r="C143" s="423"/>
      <c r="D143" s="229" t="s">
        <v>693</v>
      </c>
      <c r="E143" s="225"/>
      <c r="F143" s="268">
        <f>'PRECIO DEL METRAJE'!E147</f>
        <v>0</v>
      </c>
      <c r="G143" s="225" t="s">
        <v>509</v>
      </c>
      <c r="H143" s="272">
        <f>'PRECIO DEL METRAJE'!K147</f>
        <v>215</v>
      </c>
      <c r="I143" s="272">
        <f t="shared" si="7"/>
        <v>0</v>
      </c>
      <c r="J143" s="270"/>
      <c r="K143" s="280"/>
      <c r="M143" s="62" t="str">
        <f t="shared" si="6"/>
        <v>OCULTAR</v>
      </c>
      <c r="N143" s="62"/>
      <c r="O143" s="62"/>
      <c r="P143" s="62"/>
      <c r="Q143" s="62"/>
      <c r="R143" s="62"/>
      <c r="S143" s="62"/>
    </row>
    <row r="144" spans="2:19" ht="55.5" customHeight="1" x14ac:dyDescent="0.35">
      <c r="B144" s="230"/>
      <c r="C144" s="423"/>
      <c r="D144" s="235" t="s">
        <v>1020</v>
      </c>
      <c r="E144" s="225"/>
      <c r="F144" s="268">
        <f>'PRECIO DEL METRAJE'!E148</f>
        <v>0</v>
      </c>
      <c r="G144" s="225" t="s">
        <v>608</v>
      </c>
      <c r="H144" s="272">
        <f>'PRECIO DEL METRAJE'!K148</f>
        <v>3600</v>
      </c>
      <c r="I144" s="272">
        <f t="shared" si="7"/>
        <v>0</v>
      </c>
      <c r="J144" s="270"/>
      <c r="K144" s="280"/>
      <c r="M144" s="225" t="str">
        <f t="shared" si="6"/>
        <v>OCULTAR</v>
      </c>
      <c r="N144" s="62"/>
      <c r="O144" s="62"/>
      <c r="P144" s="62"/>
      <c r="Q144" s="62"/>
      <c r="R144" s="62"/>
      <c r="S144" s="62"/>
    </row>
    <row r="145" spans="2:26" ht="55.5" customHeight="1" x14ac:dyDescent="0.35">
      <c r="B145" s="230"/>
      <c r="C145" s="423"/>
      <c r="D145" s="235"/>
      <c r="E145" s="225"/>
      <c r="F145" s="268"/>
      <c r="G145" s="225"/>
      <c r="H145" s="272"/>
      <c r="I145" s="272"/>
      <c r="J145" s="270"/>
      <c r="K145" s="280"/>
      <c r="M145" s="225" t="str">
        <f t="shared" si="6"/>
        <v>OCULTAR</v>
      </c>
      <c r="N145" s="62"/>
      <c r="O145" s="62"/>
      <c r="P145" s="62"/>
      <c r="Q145" s="62"/>
      <c r="R145" s="62"/>
      <c r="S145" s="62"/>
    </row>
    <row r="146" spans="2:26" ht="18" customHeight="1" x14ac:dyDescent="0.35">
      <c r="B146" s="250">
        <f>IF(K146&gt;0,B120+1,B120)</f>
        <v>2</v>
      </c>
      <c r="C146" s="261"/>
      <c r="D146" s="251" t="s">
        <v>694</v>
      </c>
      <c r="E146" s="261"/>
      <c r="F146" s="291">
        <f>IF(K146&gt;1,1,0)</f>
        <v>0</v>
      </c>
      <c r="G146" s="261"/>
      <c r="H146" s="275"/>
      <c r="I146" s="275"/>
      <c r="J146" s="292"/>
      <c r="K146" s="253">
        <f>SUM(I148:I158)</f>
        <v>0</v>
      </c>
      <c r="M146" s="62" t="str">
        <f>IF(K146&gt;0.1,"MOSTRAR","OCULTAR")</f>
        <v>OCULTAR</v>
      </c>
      <c r="N146" s="62"/>
      <c r="O146" s="62"/>
      <c r="P146" s="62"/>
      <c r="Q146" s="62"/>
      <c r="R146" s="62"/>
      <c r="S146" s="62"/>
    </row>
    <row r="147" spans="2:26" ht="18" customHeight="1" x14ac:dyDescent="0.35">
      <c r="B147" s="230">
        <f>IF(J147&gt;0,B146+0.1,B146)</f>
        <v>2</v>
      </c>
      <c r="C147" s="265"/>
      <c r="D147" s="278" t="s">
        <v>694</v>
      </c>
      <c r="E147" s="265"/>
      <c r="F147" s="285">
        <f>IF(J147&gt;1,1,0)</f>
        <v>0</v>
      </c>
      <c r="G147" s="285"/>
      <c r="H147" s="285"/>
      <c r="I147" s="274"/>
      <c r="J147" s="274">
        <f>SUM(I148:I152)</f>
        <v>0</v>
      </c>
      <c r="K147" s="488"/>
      <c r="M147" s="62" t="str">
        <f>IF(J147&gt;0.1,"MOSTRAR","OCULTAR")</f>
        <v>OCULTAR</v>
      </c>
      <c r="N147" s="62"/>
      <c r="O147" s="62"/>
      <c r="P147" s="62"/>
      <c r="Q147" s="62"/>
      <c r="R147" s="62"/>
      <c r="S147" s="62"/>
    </row>
    <row r="148" spans="2:26" ht="95.25" customHeight="1" x14ac:dyDescent="0.35">
      <c r="B148" s="230"/>
      <c r="C148" s="423"/>
      <c r="D148" s="229" t="s">
        <v>695</v>
      </c>
      <c r="E148" s="225"/>
      <c r="F148" s="268">
        <f>'PRECIO DEL METRAJE'!E151</f>
        <v>0</v>
      </c>
      <c r="G148" s="225" t="s">
        <v>608</v>
      </c>
      <c r="H148" s="272">
        <f>'PRECIO DEL METRAJE'!K151</f>
        <v>5907.7000000000007</v>
      </c>
      <c r="I148" s="272">
        <f>H148*F148</f>
        <v>0</v>
      </c>
      <c r="J148" s="270"/>
      <c r="K148" s="280"/>
      <c r="M148" s="62" t="str">
        <f t="shared" si="6"/>
        <v>OCULTAR</v>
      </c>
      <c r="N148" s="62"/>
      <c r="O148" s="62"/>
      <c r="P148" s="62"/>
      <c r="Q148" s="62"/>
      <c r="R148" s="62"/>
      <c r="S148" s="62"/>
    </row>
    <row r="149" spans="2:26" ht="95.25" customHeight="1" x14ac:dyDescent="0.35">
      <c r="B149" s="230"/>
      <c r="C149" s="423"/>
      <c r="D149" s="229" t="s">
        <v>696</v>
      </c>
      <c r="E149" s="225"/>
      <c r="F149" s="268">
        <f>'PRECIO DEL METRAJE'!E152</f>
        <v>0</v>
      </c>
      <c r="G149" s="225" t="s">
        <v>608</v>
      </c>
      <c r="H149" s="272">
        <f>'PRECIO DEL METRAJE'!K152</f>
        <v>6012.4000000000005</v>
      </c>
      <c r="I149" s="272">
        <f>H149*F149</f>
        <v>0</v>
      </c>
      <c r="J149" s="270"/>
      <c r="K149" s="280"/>
      <c r="M149" s="62" t="str">
        <f t="shared" si="6"/>
        <v>OCULTAR</v>
      </c>
      <c r="N149" s="62"/>
      <c r="O149" s="62"/>
      <c r="P149" s="62"/>
      <c r="Q149" s="62"/>
      <c r="R149" s="62"/>
      <c r="S149" s="62"/>
    </row>
    <row r="150" spans="2:26" ht="95.25" customHeight="1" x14ac:dyDescent="0.35">
      <c r="B150" s="230"/>
      <c r="C150" s="423"/>
      <c r="D150" s="229" t="s">
        <v>697</v>
      </c>
      <c r="E150" s="225"/>
      <c r="F150" s="268">
        <f>'PRECIO DEL METRAJE'!E153</f>
        <v>0</v>
      </c>
      <c r="G150" s="225" t="s">
        <v>608</v>
      </c>
      <c r="H150" s="272">
        <f>'PRECIO DEL METRAJE'!K153</f>
        <v>6264.7000000000007</v>
      </c>
      <c r="I150" s="272">
        <f>H150*F150</f>
        <v>0</v>
      </c>
      <c r="J150" s="270"/>
      <c r="K150" s="280"/>
      <c r="M150" s="62" t="str">
        <f t="shared" si="6"/>
        <v>OCULTAR</v>
      </c>
      <c r="N150" s="62"/>
      <c r="O150" s="62"/>
      <c r="P150" s="62"/>
      <c r="Q150" s="62"/>
      <c r="R150" s="62"/>
      <c r="S150" s="62"/>
    </row>
    <row r="151" spans="2:26" ht="95.25" customHeight="1" x14ac:dyDescent="0.35">
      <c r="B151" s="230"/>
      <c r="C151" s="423"/>
      <c r="D151" s="229" t="s">
        <v>698</v>
      </c>
      <c r="E151" s="225"/>
      <c r="F151" s="268">
        <f>'PRECIO DEL METRAJE'!E154</f>
        <v>0</v>
      </c>
      <c r="G151" s="225" t="s">
        <v>608</v>
      </c>
      <c r="H151" s="272">
        <f>'PRECIO DEL METRAJE'!K154</f>
        <v>6386.2000000000007</v>
      </c>
      <c r="I151" s="272">
        <f>H151*F151</f>
        <v>0</v>
      </c>
      <c r="J151" s="270"/>
      <c r="K151" s="280"/>
      <c r="M151" s="62" t="str">
        <f t="shared" si="6"/>
        <v>OCULTAR</v>
      </c>
      <c r="N151" s="62"/>
      <c r="O151" s="62"/>
      <c r="P151" s="62"/>
      <c r="Q151" s="62"/>
      <c r="R151" s="62"/>
      <c r="S151" s="62"/>
    </row>
    <row r="152" spans="2:26" ht="14.25" customHeight="1" x14ac:dyDescent="0.35">
      <c r="B152" s="230"/>
      <c r="C152" s="225"/>
      <c r="D152" s="229"/>
      <c r="E152" s="225"/>
      <c r="F152" s="268"/>
      <c r="G152" s="225"/>
      <c r="H152" s="272"/>
      <c r="I152" s="272"/>
      <c r="J152" s="270"/>
      <c r="K152" s="280"/>
      <c r="M152" s="62" t="str">
        <f t="shared" si="6"/>
        <v>OCULTAR</v>
      </c>
      <c r="N152" s="62"/>
      <c r="O152" s="62"/>
      <c r="P152" s="62"/>
      <c r="Q152" s="62"/>
      <c r="R152" s="62"/>
      <c r="S152" s="62"/>
    </row>
    <row r="153" spans="2:26" ht="18" customHeight="1" x14ac:dyDescent="0.35">
      <c r="B153" s="230">
        <f>IF(J153&gt;0,B147+0.1,B147)</f>
        <v>2</v>
      </c>
      <c r="C153" s="259"/>
      <c r="D153" s="262" t="s">
        <v>699</v>
      </c>
      <c r="E153" s="286"/>
      <c r="F153" s="294">
        <f>IF(J153&gt;1,1,0)</f>
        <v>0</v>
      </c>
      <c r="G153" s="259"/>
      <c r="H153" s="277"/>
      <c r="I153" s="277"/>
      <c r="J153" s="277">
        <f>SUM(I154:I158)</f>
        <v>0</v>
      </c>
      <c r="K153" s="280"/>
      <c r="M153" s="62" t="str">
        <f>IF(J153&gt;0.1,"MOSTRAR","OCULTAR")</f>
        <v>OCULTAR</v>
      </c>
      <c r="N153" s="62"/>
      <c r="O153" s="62"/>
      <c r="P153" s="62"/>
      <c r="Q153" s="62"/>
      <c r="R153" s="62"/>
      <c r="S153" s="62"/>
      <c r="Z153" s="55">
        <f>+AA152</f>
        <v>0</v>
      </c>
    </row>
    <row r="154" spans="2:26" ht="24.75" customHeight="1" x14ac:dyDescent="0.35">
      <c r="B154" s="230"/>
      <c r="C154" s="225"/>
      <c r="D154" s="229" t="s">
        <v>700</v>
      </c>
      <c r="E154" s="225"/>
      <c r="F154" s="268">
        <f>'PRECIO DEL METRAJE'!E157</f>
        <v>0</v>
      </c>
      <c r="G154" s="225" t="s">
        <v>608</v>
      </c>
      <c r="H154" s="272">
        <f>'PRECIO DEL METRAJE'!K157</f>
        <v>0</v>
      </c>
      <c r="I154" s="272">
        <f>H154*F154</f>
        <v>0</v>
      </c>
      <c r="J154" s="270"/>
      <c r="K154" s="280"/>
      <c r="M154" s="62" t="str">
        <f t="shared" si="6"/>
        <v>OCULTAR</v>
      </c>
      <c r="N154" s="62"/>
      <c r="O154" s="62"/>
      <c r="P154" s="62"/>
      <c r="Q154" s="62"/>
      <c r="R154" s="62"/>
      <c r="S154" s="62"/>
    </row>
    <row r="155" spans="2:26" ht="18" customHeight="1" x14ac:dyDescent="0.35">
      <c r="B155" s="230"/>
      <c r="C155" s="225"/>
      <c r="D155" s="229" t="s">
        <v>701</v>
      </c>
      <c r="E155" s="225"/>
      <c r="F155" s="268">
        <f>'PRECIO DEL METRAJE'!E158</f>
        <v>0</v>
      </c>
      <c r="G155" s="225" t="s">
        <v>608</v>
      </c>
      <c r="H155" s="272">
        <f>'PRECIO DEL METRAJE'!K158</f>
        <v>0</v>
      </c>
      <c r="I155" s="272">
        <f>H155*F155</f>
        <v>0</v>
      </c>
      <c r="J155" s="270"/>
      <c r="K155" s="280"/>
      <c r="M155" s="62" t="str">
        <f t="shared" si="6"/>
        <v>OCULTAR</v>
      </c>
      <c r="N155" s="62"/>
      <c r="O155" s="62"/>
      <c r="P155" s="62"/>
      <c r="Q155" s="62"/>
      <c r="R155" s="62"/>
      <c r="S155" s="62"/>
    </row>
    <row r="156" spans="2:26" s="229" customFormat="1" ht="14.5" x14ac:dyDescent="0.3">
      <c r="B156" s="231"/>
      <c r="C156" s="225"/>
      <c r="D156" s="229" t="s">
        <v>702</v>
      </c>
      <c r="E156" s="225"/>
      <c r="F156" s="268">
        <f>'PRECIO DEL METRAJE'!E159</f>
        <v>0</v>
      </c>
      <c r="G156" s="225" t="s">
        <v>608</v>
      </c>
      <c r="H156" s="272">
        <f>'PRECIO DEL METRAJE'!K159</f>
        <v>353.90000000000003</v>
      </c>
      <c r="I156" s="272">
        <f>H156*F156</f>
        <v>0</v>
      </c>
      <c r="J156" s="270"/>
      <c r="K156" s="280"/>
      <c r="L156" s="224"/>
      <c r="M156" s="225" t="str">
        <f t="shared" si="6"/>
        <v>OCULTAR</v>
      </c>
      <c r="N156" s="225"/>
      <c r="O156" s="225"/>
      <c r="P156" s="225"/>
      <c r="Q156" s="225"/>
      <c r="R156" s="225"/>
      <c r="S156" s="225"/>
      <c r="T156" s="225"/>
      <c r="U156" s="225"/>
    </row>
    <row r="157" spans="2:26" ht="18" customHeight="1" x14ac:dyDescent="0.35">
      <c r="B157" s="230"/>
      <c r="C157" s="225"/>
      <c r="D157" s="229" t="s">
        <v>152</v>
      </c>
      <c r="E157" s="225"/>
      <c r="F157" s="268">
        <f>'PRECIO DEL METRAJE'!E160</f>
        <v>0</v>
      </c>
      <c r="G157" s="225" t="s">
        <v>608</v>
      </c>
      <c r="H157" s="272">
        <f>'PRECIO DEL METRAJE'!K160</f>
        <v>995.4</v>
      </c>
      <c r="I157" s="272">
        <f>H157*F157</f>
        <v>0</v>
      </c>
      <c r="J157" s="270"/>
      <c r="K157" s="280"/>
      <c r="M157" s="62" t="str">
        <f t="shared" si="6"/>
        <v>OCULTAR</v>
      </c>
      <c r="N157" s="62"/>
      <c r="O157" s="62"/>
      <c r="P157" s="62"/>
      <c r="Q157" s="62"/>
      <c r="R157" s="62"/>
      <c r="S157" s="62"/>
    </row>
    <row r="158" spans="2:26" ht="14.25" customHeight="1" x14ac:dyDescent="0.35">
      <c r="B158" s="230"/>
      <c r="C158" s="225"/>
      <c r="D158" s="229"/>
      <c r="E158" s="225"/>
      <c r="F158" s="268"/>
      <c r="G158" s="225"/>
      <c r="H158" s="272"/>
      <c r="I158" s="272"/>
      <c r="J158" s="270"/>
      <c r="K158" s="280"/>
      <c r="M158" s="62" t="str">
        <f t="shared" si="6"/>
        <v>OCULTAR</v>
      </c>
      <c r="N158" s="62"/>
      <c r="O158" s="62"/>
      <c r="P158" s="62"/>
      <c r="Q158" s="62"/>
      <c r="R158" s="62"/>
      <c r="S158" s="62"/>
    </row>
    <row r="159" spans="2:26" ht="18" customHeight="1" x14ac:dyDescent="0.35">
      <c r="B159" s="250">
        <f>IF(K159&gt;0,B146+1,B146)</f>
        <v>2</v>
      </c>
      <c r="C159" s="261"/>
      <c r="D159" s="251" t="s">
        <v>703</v>
      </c>
      <c r="E159" s="261"/>
      <c r="F159" s="291">
        <f>IF(K159&gt;1,1,0)</f>
        <v>0</v>
      </c>
      <c r="G159" s="261"/>
      <c r="H159" s="275"/>
      <c r="I159" s="275"/>
      <c r="J159" s="292"/>
      <c r="K159" s="253">
        <f>SUM(I160:I170)</f>
        <v>0</v>
      </c>
      <c r="M159" s="62" t="str">
        <f>IF(K159&gt;0.1,"MOSTRAR","OCULTAR")</f>
        <v>OCULTAR</v>
      </c>
      <c r="N159" s="62"/>
      <c r="O159" s="62"/>
      <c r="P159" s="62"/>
      <c r="Q159" s="62"/>
      <c r="R159" s="62"/>
      <c r="S159" s="62"/>
    </row>
    <row r="160" spans="2:26" ht="14.5" x14ac:dyDescent="0.35">
      <c r="B160" s="230"/>
      <c r="C160" s="423"/>
      <c r="D160" s="229"/>
      <c r="E160" s="225"/>
      <c r="F160" s="225"/>
      <c r="G160" s="225"/>
      <c r="H160" s="272"/>
      <c r="I160" s="272"/>
      <c r="J160" s="270"/>
      <c r="K160" s="280"/>
      <c r="M160" s="62" t="str">
        <f t="shared" si="6"/>
        <v>OCULTAR</v>
      </c>
      <c r="N160" s="62"/>
      <c r="O160" s="62"/>
      <c r="P160" s="62"/>
      <c r="Q160" s="62"/>
      <c r="R160" s="62"/>
      <c r="S160" s="62"/>
    </row>
    <row r="161" spans="2:23" ht="162.75" customHeight="1" x14ac:dyDescent="0.35">
      <c r="B161" s="230"/>
      <c r="C161" s="423"/>
      <c r="D161" s="229" t="s">
        <v>704</v>
      </c>
      <c r="E161" s="225"/>
      <c r="F161" s="268">
        <f>'PRECIO DEL METRAJE'!E163</f>
        <v>0</v>
      </c>
      <c r="G161" s="225" t="s">
        <v>414</v>
      </c>
      <c r="H161" s="272">
        <f>'PRECIO DEL METRAJE'!K163</f>
        <v>4464.7000000000007</v>
      </c>
      <c r="I161" s="272">
        <f>H161*F161</f>
        <v>0</v>
      </c>
      <c r="J161" s="270"/>
      <c r="K161" s="280"/>
      <c r="M161" s="62" t="str">
        <f t="shared" si="6"/>
        <v>OCULTAR</v>
      </c>
      <c r="N161" s="62"/>
      <c r="O161" s="62"/>
      <c r="P161" s="62"/>
      <c r="Q161" s="62"/>
      <c r="R161" s="62"/>
      <c r="S161" s="62"/>
    </row>
    <row r="162" spans="2:23" ht="141" customHeight="1" x14ac:dyDescent="0.35">
      <c r="B162" s="230"/>
      <c r="C162" s="423"/>
      <c r="D162" s="229" t="s">
        <v>705</v>
      </c>
      <c r="E162" s="225"/>
      <c r="F162" s="268">
        <f>'PRECIO DEL METRAJE'!E164</f>
        <v>0</v>
      </c>
      <c r="G162" s="225" t="s">
        <v>414</v>
      </c>
      <c r="H162" s="272">
        <f>'PRECIO DEL METRAJE'!K164</f>
        <v>5675.4000000000005</v>
      </c>
      <c r="I162" s="272">
        <f t="shared" ref="I162:I164" si="8">H162*F162</f>
        <v>0</v>
      </c>
      <c r="J162" s="270"/>
      <c r="K162" s="280"/>
      <c r="M162" s="62" t="str">
        <f t="shared" si="6"/>
        <v>OCULTAR</v>
      </c>
      <c r="N162" s="62"/>
      <c r="O162" s="62"/>
      <c r="P162" s="62"/>
      <c r="Q162" s="62"/>
      <c r="R162" s="62"/>
      <c r="S162" s="62"/>
    </row>
    <row r="163" spans="2:23" ht="134.25" customHeight="1" x14ac:dyDescent="0.35">
      <c r="B163" s="230"/>
      <c r="C163" s="423"/>
      <c r="D163" s="229" t="s">
        <v>706</v>
      </c>
      <c r="E163" s="225"/>
      <c r="F163" s="268">
        <f>'PRECIO DEL METRAJE'!E165</f>
        <v>0</v>
      </c>
      <c r="G163" s="225" t="s">
        <v>414</v>
      </c>
      <c r="H163" s="272">
        <f>'PRECIO DEL METRAJE'!K165</f>
        <v>5804</v>
      </c>
      <c r="I163" s="272">
        <f t="shared" si="8"/>
        <v>0</v>
      </c>
      <c r="J163" s="270"/>
      <c r="K163" s="280"/>
      <c r="M163" s="62" t="str">
        <f t="shared" si="6"/>
        <v>OCULTAR</v>
      </c>
      <c r="N163" s="62"/>
      <c r="O163" s="62"/>
      <c r="P163" s="62"/>
      <c r="Q163" s="62"/>
      <c r="R163" s="62"/>
      <c r="S163" s="62"/>
    </row>
    <row r="164" spans="2:23" ht="128.25" customHeight="1" x14ac:dyDescent="0.35">
      <c r="B164" s="230"/>
      <c r="C164" s="423"/>
      <c r="D164" s="229" t="s">
        <v>707</v>
      </c>
      <c r="E164" s="225"/>
      <c r="F164" s="268">
        <f>'PRECIO DEL METRAJE'!E166</f>
        <v>0</v>
      </c>
      <c r="G164" s="225" t="s">
        <v>414</v>
      </c>
      <c r="H164" s="272">
        <f>'PRECIO DEL METRAJE'!K166</f>
        <v>6240</v>
      </c>
      <c r="I164" s="272">
        <f t="shared" si="8"/>
        <v>0</v>
      </c>
      <c r="J164" s="270"/>
      <c r="K164" s="280"/>
      <c r="M164" s="62" t="str">
        <f t="shared" si="6"/>
        <v>OCULTAR</v>
      </c>
      <c r="N164" s="62"/>
      <c r="O164" s="62"/>
      <c r="P164" s="62"/>
      <c r="Q164" s="62"/>
      <c r="R164" s="62"/>
      <c r="S164" s="62"/>
    </row>
    <row r="165" spans="2:23" ht="9.75" customHeight="1" x14ac:dyDescent="0.35">
      <c r="B165" s="230"/>
      <c r="C165" s="225"/>
      <c r="D165" s="229"/>
      <c r="E165" s="225"/>
      <c r="F165" s="257"/>
      <c r="G165" s="257"/>
      <c r="H165" s="272"/>
      <c r="I165" s="272"/>
      <c r="J165" s="270"/>
      <c r="K165" s="280"/>
      <c r="M165" s="62" t="str">
        <f t="shared" si="6"/>
        <v>OCULTAR</v>
      </c>
      <c r="N165" s="62"/>
      <c r="O165" s="62"/>
      <c r="P165" s="62"/>
      <c r="Q165" s="62"/>
      <c r="R165" s="62"/>
      <c r="S165" s="62"/>
    </row>
    <row r="166" spans="2:23" ht="15" customHeight="1" x14ac:dyDescent="0.35">
      <c r="B166" s="230"/>
      <c r="C166" s="259"/>
      <c r="D166" s="262" t="s">
        <v>708</v>
      </c>
      <c r="E166" s="286"/>
      <c r="F166" s="294">
        <f>IF(J166&gt;1,1,0)</f>
        <v>0</v>
      </c>
      <c r="G166" s="259"/>
      <c r="H166" s="277"/>
      <c r="I166" s="277"/>
      <c r="J166" s="277">
        <f>SUM(I167:I170)</f>
        <v>0</v>
      </c>
      <c r="K166" s="280"/>
      <c r="M166" s="62" t="str">
        <f>IF(J166&gt;0.1,"MOSTRAR","OCULTAR")</f>
        <v>OCULTAR</v>
      </c>
      <c r="N166" s="62"/>
      <c r="O166" s="62"/>
      <c r="P166" s="62"/>
      <c r="Q166" s="62"/>
      <c r="R166" s="62"/>
      <c r="S166" s="62"/>
    </row>
    <row r="167" spans="2:23" ht="20.25" customHeight="1" x14ac:dyDescent="0.35">
      <c r="B167" s="230"/>
      <c r="C167" s="225"/>
      <c r="D167" s="229" t="s">
        <v>709</v>
      </c>
      <c r="E167" s="225"/>
      <c r="F167" s="268">
        <f>'PRECIO DEL METRAJE'!E169</f>
        <v>0</v>
      </c>
      <c r="G167" s="225" t="s">
        <v>608</v>
      </c>
      <c r="H167" s="272">
        <f>'PRECIO DEL METRAJE'!K169</f>
        <v>0</v>
      </c>
      <c r="I167" s="272">
        <f>H167*F167</f>
        <v>0</v>
      </c>
      <c r="J167" s="270"/>
      <c r="K167" s="280"/>
      <c r="M167" s="62" t="str">
        <f t="shared" si="6"/>
        <v>OCULTAR</v>
      </c>
      <c r="N167" s="62"/>
      <c r="O167" s="62"/>
      <c r="P167" s="62"/>
      <c r="Q167" s="62"/>
      <c r="R167" s="62"/>
      <c r="S167" s="62"/>
    </row>
    <row r="168" spans="2:23" ht="20.25" customHeight="1" x14ac:dyDescent="0.35">
      <c r="B168" s="230"/>
      <c r="C168" s="225"/>
      <c r="D168" s="229" t="s">
        <v>700</v>
      </c>
      <c r="E168" s="225"/>
      <c r="F168" s="268">
        <f>'PRECIO DEL METRAJE'!E170</f>
        <v>0</v>
      </c>
      <c r="G168" s="225" t="s">
        <v>608</v>
      </c>
      <c r="H168" s="272">
        <f>'PRECIO DEL METRAJE'!K170</f>
        <v>0</v>
      </c>
      <c r="I168" s="272">
        <f>H168*F168</f>
        <v>0</v>
      </c>
      <c r="J168" s="270"/>
      <c r="K168" s="280"/>
      <c r="M168" s="62" t="str">
        <f t="shared" si="6"/>
        <v>OCULTAR</v>
      </c>
      <c r="N168" s="62"/>
      <c r="O168" s="62"/>
      <c r="P168" s="62"/>
      <c r="Q168" s="62"/>
      <c r="R168" s="62"/>
      <c r="S168" s="62"/>
    </row>
    <row r="169" spans="2:23" ht="20.25" customHeight="1" x14ac:dyDescent="0.35">
      <c r="B169" s="231"/>
      <c r="C169" s="225"/>
      <c r="D169" s="229" t="s">
        <v>710</v>
      </c>
      <c r="E169" s="225"/>
      <c r="F169" s="268">
        <f>'PRECIO DEL METRAJE'!E171</f>
        <v>0</v>
      </c>
      <c r="G169" s="225" t="s">
        <v>608</v>
      </c>
      <c r="H169" s="272">
        <f>'PRECIO DEL METRAJE'!K171</f>
        <v>0</v>
      </c>
      <c r="I169" s="272">
        <f>H169*F169</f>
        <v>0</v>
      </c>
      <c r="J169" s="270"/>
      <c r="K169" s="280"/>
      <c r="M169" s="62" t="str">
        <f t="shared" si="6"/>
        <v>OCULTAR</v>
      </c>
      <c r="N169" s="62"/>
      <c r="O169" s="62"/>
      <c r="P169" s="62"/>
      <c r="Q169" s="62"/>
      <c r="R169" s="62"/>
      <c r="S169" s="62"/>
    </row>
    <row r="170" spans="2:23" ht="15" customHeight="1" x14ac:dyDescent="0.35">
      <c r="B170" s="230"/>
      <c r="C170" s="225"/>
      <c r="D170" s="229"/>
      <c r="E170" s="225"/>
      <c r="F170" s="257">
        <f>IF(K186&gt;1,1,0)</f>
        <v>0</v>
      </c>
      <c r="G170" s="257"/>
      <c r="H170" s="272"/>
      <c r="I170" s="272"/>
      <c r="J170" s="270"/>
      <c r="K170" s="280"/>
      <c r="M170" s="62" t="str">
        <f t="shared" si="6"/>
        <v>OCULTAR</v>
      </c>
      <c r="N170" s="62"/>
      <c r="O170" s="62"/>
      <c r="P170" s="62"/>
      <c r="Q170" s="62"/>
      <c r="R170" s="62"/>
      <c r="S170" s="62"/>
    </row>
    <row r="171" spans="2:23" ht="18" customHeight="1" x14ac:dyDescent="0.35">
      <c r="B171" s="250">
        <f>IF(K171&gt;0,B159+1,B159)</f>
        <v>2</v>
      </c>
      <c r="C171" s="249"/>
      <c r="D171" s="251" t="s">
        <v>565</v>
      </c>
      <c r="E171" s="261"/>
      <c r="F171" s="291">
        <f>IF(K171&gt;1,1,0)</f>
        <v>0</v>
      </c>
      <c r="G171" s="261"/>
      <c r="H171" s="275"/>
      <c r="I171" s="275"/>
      <c r="J171" s="301">
        <f>K171</f>
        <v>0</v>
      </c>
      <c r="K171" s="248">
        <f>SUM(I172:I185)</f>
        <v>0</v>
      </c>
      <c r="M171" s="62" t="str">
        <f>IF(K171&gt;0.1,"MOSTRAR","OCULTAR")</f>
        <v>OCULTAR</v>
      </c>
      <c r="N171" s="62"/>
      <c r="O171" s="62"/>
      <c r="P171" s="62"/>
      <c r="Q171" s="62"/>
      <c r="R171" s="62"/>
      <c r="S171" s="62"/>
    </row>
    <row r="172" spans="2:23" ht="92.25" customHeight="1" x14ac:dyDescent="0.35">
      <c r="B172" s="230"/>
      <c r="C172" s="422"/>
      <c r="D172" s="235" t="s">
        <v>711</v>
      </c>
      <c r="E172" s="225"/>
      <c r="F172" s="268">
        <f>'PRECIO DEL METRAJE'!E174</f>
        <v>0</v>
      </c>
      <c r="G172" s="225" t="s">
        <v>608</v>
      </c>
      <c r="H172" s="272">
        <f>'PRECIO DEL METRAJE'!K174</f>
        <v>94</v>
      </c>
      <c r="I172" s="272">
        <f t="shared" ref="I172:I185" si="9">H172*F172</f>
        <v>0</v>
      </c>
      <c r="J172" s="270"/>
      <c r="K172" s="280"/>
      <c r="M172" s="62" t="str">
        <f t="shared" si="6"/>
        <v>OCULTAR</v>
      </c>
      <c r="N172" s="62"/>
      <c r="O172" s="62"/>
      <c r="P172" s="62"/>
      <c r="Q172" s="62"/>
      <c r="R172" s="62"/>
      <c r="S172" s="62"/>
    </row>
    <row r="173" spans="2:23" ht="92.25" customHeight="1" x14ac:dyDescent="0.35">
      <c r="B173" s="230"/>
      <c r="C173" s="422"/>
      <c r="D173" s="235" t="s">
        <v>712</v>
      </c>
      <c r="E173" s="225"/>
      <c r="F173" s="268">
        <f>'PRECIO DEL METRAJE'!E175</f>
        <v>0</v>
      </c>
      <c r="G173" s="225" t="s">
        <v>608</v>
      </c>
      <c r="H173" s="272">
        <f>'PRECIO DEL METRAJE'!K175</f>
        <v>144</v>
      </c>
      <c r="I173" s="272">
        <f t="shared" si="9"/>
        <v>0</v>
      </c>
      <c r="J173" s="270"/>
      <c r="K173" s="280"/>
      <c r="M173" s="62" t="str">
        <f t="shared" si="6"/>
        <v>OCULTAR</v>
      </c>
      <c r="N173" s="62"/>
      <c r="O173" s="62"/>
      <c r="P173" s="62"/>
      <c r="Q173" s="62"/>
      <c r="R173" s="62"/>
      <c r="S173" s="62"/>
    </row>
    <row r="174" spans="2:23" ht="92.25" customHeight="1" x14ac:dyDescent="0.35">
      <c r="B174" s="230"/>
      <c r="C174" s="422"/>
      <c r="D174" s="235" t="s">
        <v>713</v>
      </c>
      <c r="E174" s="225"/>
      <c r="F174" s="268">
        <f>'PRECIO DEL METRAJE'!E176</f>
        <v>0</v>
      </c>
      <c r="G174" s="225" t="s">
        <v>608</v>
      </c>
      <c r="H174" s="272">
        <f>'PRECIO DEL METRAJE'!K176</f>
        <v>218</v>
      </c>
      <c r="I174" s="272">
        <f t="shared" si="9"/>
        <v>0</v>
      </c>
      <c r="J174" s="270"/>
      <c r="K174" s="280"/>
      <c r="M174" s="62" t="str">
        <f t="shared" si="6"/>
        <v>OCULTAR</v>
      </c>
      <c r="N174" s="62"/>
      <c r="O174" s="62"/>
      <c r="P174" s="62"/>
      <c r="Q174" s="62"/>
      <c r="R174" s="62"/>
      <c r="S174" s="62"/>
    </row>
    <row r="175" spans="2:23" ht="75.75" customHeight="1" x14ac:dyDescent="0.35">
      <c r="B175" s="230"/>
      <c r="C175" s="225"/>
      <c r="D175" s="235" t="s">
        <v>714</v>
      </c>
      <c r="E175" s="225"/>
      <c r="F175" s="268">
        <f>'PRECIO DEL METRAJE'!E177</f>
        <v>0</v>
      </c>
      <c r="G175" s="225" t="s">
        <v>608</v>
      </c>
      <c r="H175" s="272">
        <f>'PRECIO DEL METRAJE'!K177</f>
        <v>271.60000000000002</v>
      </c>
      <c r="I175" s="272">
        <f t="shared" si="9"/>
        <v>0</v>
      </c>
      <c r="J175" s="270"/>
      <c r="K175" s="280"/>
      <c r="M175" s="62" t="str">
        <f t="shared" si="6"/>
        <v>OCULTAR</v>
      </c>
      <c r="N175" s="62"/>
      <c r="O175" s="62"/>
      <c r="P175" s="62"/>
      <c r="Q175" s="62"/>
      <c r="R175" s="62"/>
      <c r="S175" s="62"/>
    </row>
    <row r="176" spans="2:23" ht="75.75" customHeight="1" x14ac:dyDescent="0.35">
      <c r="B176" s="230"/>
      <c r="C176" s="225"/>
      <c r="D176" s="235" t="s">
        <v>715</v>
      </c>
      <c r="E176" s="225"/>
      <c r="F176" s="268">
        <f>'PRECIO DEL METRAJE'!E178</f>
        <v>0</v>
      </c>
      <c r="G176" s="225" t="s">
        <v>608</v>
      </c>
      <c r="H176" s="272">
        <f>'PRECIO DEL METRAJE'!K178</f>
        <v>430.8</v>
      </c>
      <c r="I176" s="272">
        <f t="shared" si="9"/>
        <v>0</v>
      </c>
      <c r="J176" s="270"/>
      <c r="K176" s="280"/>
      <c r="M176" s="62" t="str">
        <f t="shared" si="6"/>
        <v>OCULTAR</v>
      </c>
      <c r="N176" s="62"/>
      <c r="O176" s="62"/>
      <c r="P176" s="62"/>
      <c r="Q176" s="62"/>
      <c r="R176" s="62"/>
      <c r="S176" s="62"/>
    </row>
    <row r="177" spans="2:19" ht="75.75" customHeight="1" x14ac:dyDescent="0.35">
      <c r="B177" s="230"/>
      <c r="C177" s="225"/>
      <c r="D177" s="235" t="s">
        <v>716</v>
      </c>
      <c r="E177" s="225"/>
      <c r="F177" s="268">
        <f>'PRECIO DEL METRAJE'!E179</f>
        <v>0</v>
      </c>
      <c r="G177" s="225" t="s">
        <v>608</v>
      </c>
      <c r="H177" s="272">
        <f>'PRECIO DEL METRAJE'!K179</f>
        <v>461.6</v>
      </c>
      <c r="I177" s="272">
        <f t="shared" si="9"/>
        <v>0</v>
      </c>
      <c r="J177" s="270"/>
      <c r="K177" s="280"/>
      <c r="M177" s="62" t="str">
        <f t="shared" si="6"/>
        <v>OCULTAR</v>
      </c>
      <c r="N177" s="62"/>
      <c r="O177" s="62"/>
      <c r="P177" s="62"/>
      <c r="Q177" s="62"/>
      <c r="R177" s="62"/>
      <c r="S177" s="62"/>
    </row>
    <row r="178" spans="2:19" ht="50.25" customHeight="1" x14ac:dyDescent="0.35">
      <c r="B178" s="230"/>
      <c r="C178" s="225"/>
      <c r="D178" s="244" t="s">
        <v>717</v>
      </c>
      <c r="E178" s="225"/>
      <c r="F178" s="268">
        <f>'PRECIO DEL METRAJE'!E180</f>
        <v>0</v>
      </c>
      <c r="G178" s="225" t="s">
        <v>608</v>
      </c>
      <c r="H178" s="272">
        <f>'PRECIO DEL METRAJE'!K180</f>
        <v>0</v>
      </c>
      <c r="I178" s="272">
        <f t="shared" si="9"/>
        <v>0</v>
      </c>
      <c r="J178" s="270"/>
      <c r="K178" s="280"/>
      <c r="M178" s="62" t="str">
        <f t="shared" si="6"/>
        <v>OCULTAR</v>
      </c>
      <c r="N178" s="62"/>
      <c r="O178" s="62"/>
      <c r="P178" s="62"/>
      <c r="Q178" s="62"/>
      <c r="R178" s="62"/>
      <c r="S178" s="62"/>
    </row>
    <row r="179" spans="2:19" ht="29.25" customHeight="1" x14ac:dyDescent="0.35">
      <c r="B179" s="230"/>
      <c r="C179" s="641"/>
      <c r="D179" s="244" t="s">
        <v>717</v>
      </c>
      <c r="E179" s="225"/>
      <c r="F179" s="268">
        <f>'PRECIO DEL METRAJE'!E181</f>
        <v>0</v>
      </c>
      <c r="G179" s="225" t="s">
        <v>608</v>
      </c>
      <c r="H179" s="272">
        <f>'PRECIO DEL METRAJE'!K181</f>
        <v>0</v>
      </c>
      <c r="I179" s="272">
        <f t="shared" si="9"/>
        <v>0</v>
      </c>
      <c r="J179" s="270"/>
      <c r="K179" s="280"/>
      <c r="M179" s="62" t="str">
        <f t="shared" si="6"/>
        <v>OCULTAR</v>
      </c>
      <c r="N179" s="62"/>
      <c r="O179" s="62"/>
      <c r="P179" s="62"/>
      <c r="Q179" s="62"/>
      <c r="R179" s="62"/>
      <c r="S179" s="62"/>
    </row>
    <row r="180" spans="2:19" ht="30" customHeight="1" x14ac:dyDescent="0.35">
      <c r="B180" s="230"/>
      <c r="C180" s="641"/>
      <c r="D180" s="235" t="s">
        <v>718</v>
      </c>
      <c r="E180" s="225"/>
      <c r="F180" s="268">
        <f>'PRECIO DEL METRAJE'!E182</f>
        <v>0</v>
      </c>
      <c r="G180" s="225" t="s">
        <v>608</v>
      </c>
      <c r="H180" s="272">
        <f>'PRECIO DEL METRAJE'!K182</f>
        <v>0</v>
      </c>
      <c r="I180" s="272">
        <f t="shared" si="9"/>
        <v>0</v>
      </c>
      <c r="J180" s="270"/>
      <c r="K180" s="280"/>
      <c r="M180" s="62" t="str">
        <f t="shared" si="6"/>
        <v>OCULTAR</v>
      </c>
      <c r="N180" s="62"/>
      <c r="O180" s="62"/>
      <c r="P180" s="62"/>
      <c r="Q180" s="62"/>
      <c r="R180" s="62"/>
      <c r="S180" s="62"/>
    </row>
    <row r="181" spans="2:19" ht="30" customHeight="1" x14ac:dyDescent="0.35">
      <c r="B181" s="230"/>
      <c r="C181" s="641"/>
      <c r="D181" s="235" t="s">
        <v>719</v>
      </c>
      <c r="E181" s="225"/>
      <c r="F181" s="268">
        <f>'PRECIO DEL METRAJE'!E183</f>
        <v>0</v>
      </c>
      <c r="G181" s="225" t="s">
        <v>608</v>
      </c>
      <c r="H181" s="272">
        <f>'PRECIO DEL METRAJE'!K183</f>
        <v>0</v>
      </c>
      <c r="I181" s="272">
        <f t="shared" si="9"/>
        <v>0</v>
      </c>
      <c r="J181" s="270"/>
      <c r="K181" s="280"/>
      <c r="M181" s="62" t="str">
        <f t="shared" si="6"/>
        <v>OCULTAR</v>
      </c>
      <c r="N181" s="62"/>
      <c r="O181" s="62"/>
      <c r="P181" s="62"/>
      <c r="Q181" s="62"/>
      <c r="R181" s="62"/>
      <c r="S181" s="62"/>
    </row>
    <row r="182" spans="2:19" ht="30" customHeight="1" x14ac:dyDescent="0.35">
      <c r="B182" s="230"/>
      <c r="C182" s="641"/>
      <c r="D182" s="235" t="s">
        <v>719</v>
      </c>
      <c r="E182" s="225"/>
      <c r="F182" s="268">
        <f>'PRECIO DEL METRAJE'!E184</f>
        <v>0</v>
      </c>
      <c r="G182" s="225" t="s">
        <v>608</v>
      </c>
      <c r="H182" s="272">
        <f>'PRECIO DEL METRAJE'!K184</f>
        <v>0</v>
      </c>
      <c r="I182" s="272">
        <f t="shared" si="9"/>
        <v>0</v>
      </c>
      <c r="J182" s="270"/>
      <c r="K182" s="280"/>
      <c r="M182" s="62" t="str">
        <f t="shared" si="6"/>
        <v>OCULTAR</v>
      </c>
      <c r="N182" s="62"/>
      <c r="O182" s="62"/>
      <c r="P182" s="62"/>
      <c r="Q182" s="62"/>
      <c r="R182" s="62"/>
      <c r="S182" s="62"/>
    </row>
    <row r="183" spans="2:19" ht="30" customHeight="1" x14ac:dyDescent="0.35">
      <c r="B183" s="230"/>
      <c r="C183" s="641"/>
      <c r="D183" s="235" t="s">
        <v>719</v>
      </c>
      <c r="E183" s="225"/>
      <c r="F183" s="268">
        <f>'PRECIO DEL METRAJE'!E185</f>
        <v>0</v>
      </c>
      <c r="G183" s="225" t="s">
        <v>608</v>
      </c>
      <c r="H183" s="272">
        <f>'PRECIO DEL METRAJE'!K185</f>
        <v>0</v>
      </c>
      <c r="I183" s="272">
        <f t="shared" si="9"/>
        <v>0</v>
      </c>
      <c r="J183" s="270"/>
      <c r="K183" s="280"/>
      <c r="M183" s="62" t="str">
        <f t="shared" si="6"/>
        <v>OCULTAR</v>
      </c>
      <c r="N183" s="62"/>
      <c r="O183" s="62"/>
      <c r="P183" s="62"/>
      <c r="Q183" s="62"/>
      <c r="R183" s="62"/>
      <c r="S183" s="62"/>
    </row>
    <row r="184" spans="2:19" ht="27.75" customHeight="1" x14ac:dyDescent="0.35">
      <c r="B184" s="230"/>
      <c r="C184" s="225"/>
      <c r="D184" s="244" t="s">
        <v>1026</v>
      </c>
      <c r="E184" s="225"/>
      <c r="F184" s="268">
        <f>'PRECIO DEL METRAJE'!E187</f>
        <v>0</v>
      </c>
      <c r="G184" s="225" t="s">
        <v>1025</v>
      </c>
      <c r="H184" s="272">
        <f>'PRECIO DEL METRAJE'!K187</f>
        <v>769.30000000000007</v>
      </c>
      <c r="I184" s="272">
        <f t="shared" si="9"/>
        <v>0</v>
      </c>
      <c r="J184" s="270"/>
      <c r="K184" s="280"/>
      <c r="M184" s="62" t="str">
        <f t="shared" si="6"/>
        <v>OCULTAR</v>
      </c>
      <c r="N184" s="62"/>
      <c r="O184" s="62"/>
      <c r="P184" s="62"/>
      <c r="Q184" s="62"/>
      <c r="R184" s="62"/>
      <c r="S184" s="62"/>
    </row>
    <row r="185" spans="2:19" ht="25.5" customHeight="1" x14ac:dyDescent="0.35">
      <c r="B185" s="230"/>
      <c r="C185" s="225"/>
      <c r="D185" s="244" t="s">
        <v>1027</v>
      </c>
      <c r="E185" s="225"/>
      <c r="F185" s="268">
        <f>'PRECIO DEL METRAJE'!E188</f>
        <v>0</v>
      </c>
      <c r="G185" s="225" t="s">
        <v>1025</v>
      </c>
      <c r="H185" s="272">
        <f>'PRECIO DEL METRAJE'!K188</f>
        <v>307.70000000000005</v>
      </c>
      <c r="I185" s="272">
        <f t="shared" si="9"/>
        <v>0</v>
      </c>
      <c r="J185" s="270"/>
      <c r="K185" s="280"/>
      <c r="M185" s="62" t="str">
        <f t="shared" si="6"/>
        <v>OCULTAR</v>
      </c>
      <c r="N185" s="62"/>
      <c r="O185" s="62"/>
      <c r="P185" s="62"/>
      <c r="Q185" s="62"/>
      <c r="R185" s="62"/>
      <c r="S185" s="62"/>
    </row>
    <row r="186" spans="2:19" ht="18" customHeight="1" x14ac:dyDescent="0.35">
      <c r="B186" s="230"/>
      <c r="C186" s="225"/>
      <c r="D186" s="229"/>
      <c r="E186" s="225"/>
      <c r="F186" s="257">
        <f>IF(K187&gt;1,1,0)</f>
        <v>0</v>
      </c>
      <c r="G186" s="257"/>
      <c r="H186" s="272"/>
      <c r="I186" s="272"/>
      <c r="J186" s="270"/>
      <c r="K186" s="280"/>
      <c r="M186" s="62" t="str">
        <f t="shared" si="6"/>
        <v>OCULTAR</v>
      </c>
      <c r="N186" s="62"/>
      <c r="O186" s="62"/>
      <c r="P186" s="62"/>
      <c r="Q186" s="62"/>
      <c r="R186" s="62"/>
      <c r="S186" s="62"/>
    </row>
    <row r="187" spans="2:19" ht="18" customHeight="1" x14ac:dyDescent="0.35">
      <c r="B187" s="250">
        <f>IF(K187&gt;0,B171+1,B171)</f>
        <v>2</v>
      </c>
      <c r="C187" s="249"/>
      <c r="D187" s="251" t="s">
        <v>720</v>
      </c>
      <c r="E187" s="261"/>
      <c r="F187" s="291">
        <f>IF(K187&gt;1,1,0)</f>
        <v>0</v>
      </c>
      <c r="G187" s="261"/>
      <c r="H187" s="275"/>
      <c r="I187" s="275"/>
      <c r="J187" s="301">
        <f>K187</f>
        <v>0</v>
      </c>
      <c r="K187" s="248">
        <f>SUM(I188:I191)</f>
        <v>0</v>
      </c>
      <c r="L187" s="63"/>
      <c r="M187" s="62" t="str">
        <f>IF(K187&gt;0.1,"MOSTRAR","OCULTAR")</f>
        <v>OCULTAR</v>
      </c>
      <c r="N187" s="62"/>
      <c r="O187" s="62"/>
      <c r="P187" s="62"/>
      <c r="Q187" s="62"/>
      <c r="R187" s="62"/>
      <c r="S187" s="62"/>
    </row>
    <row r="188" spans="2:19" ht="2.25" customHeight="1" x14ac:dyDescent="0.35">
      <c r="B188" s="230"/>
      <c r="C188" s="225"/>
      <c r="D188" s="260"/>
      <c r="E188" s="257"/>
      <c r="F188" s="257"/>
      <c r="G188" s="257"/>
      <c r="H188" s="276"/>
      <c r="I188" s="276"/>
      <c r="J188" s="282"/>
      <c r="K188" s="280"/>
      <c r="L188" s="57"/>
      <c r="M188" s="62" t="str">
        <f t="shared" si="6"/>
        <v>OCULTAR</v>
      </c>
      <c r="N188" s="62"/>
      <c r="O188" s="62"/>
      <c r="P188" s="62"/>
      <c r="Q188" s="62"/>
      <c r="R188" s="62"/>
      <c r="S188" s="62"/>
    </row>
    <row r="189" spans="2:19" ht="91.5" customHeight="1" x14ac:dyDescent="0.35">
      <c r="B189" s="230"/>
      <c r="C189" s="225"/>
      <c r="D189" s="244" t="s">
        <v>721</v>
      </c>
      <c r="E189" s="225"/>
      <c r="F189" s="268">
        <f>'PRECIO DEL METRAJE'!E192</f>
        <v>0</v>
      </c>
      <c r="G189" s="225" t="s">
        <v>608</v>
      </c>
      <c r="H189" s="272">
        <f>'PRECIO DEL METRAJE'!K192</f>
        <v>475.20000000000005</v>
      </c>
      <c r="I189" s="272">
        <f>H189*F189</f>
        <v>0</v>
      </c>
      <c r="J189" s="270"/>
      <c r="K189" s="280"/>
      <c r="M189" s="62" t="str">
        <f t="shared" si="6"/>
        <v>OCULTAR</v>
      </c>
      <c r="N189" s="62"/>
      <c r="O189" s="62"/>
      <c r="P189" s="62"/>
      <c r="Q189" s="62"/>
      <c r="R189" s="62"/>
      <c r="S189" s="62"/>
    </row>
    <row r="190" spans="2:19" ht="91.5" customHeight="1" x14ac:dyDescent="0.35">
      <c r="B190" s="230"/>
      <c r="C190" s="225"/>
      <c r="D190" s="244" t="s">
        <v>722</v>
      </c>
      <c r="E190" s="225"/>
      <c r="F190" s="268">
        <f>'PRECIO DEL METRAJE'!E193</f>
        <v>0</v>
      </c>
      <c r="G190" s="225" t="s">
        <v>608</v>
      </c>
      <c r="H190" s="272">
        <f>'PRECIO DEL METRAJE'!K193</f>
        <v>829.4</v>
      </c>
      <c r="I190" s="272">
        <f>H190*F190</f>
        <v>0</v>
      </c>
      <c r="J190" s="270"/>
      <c r="K190" s="280"/>
      <c r="M190" s="62" t="str">
        <f t="shared" ref="M190:M242" si="10">IF(F190&gt;0.1,"MOSTRAR","OCULTAR")</f>
        <v>OCULTAR</v>
      </c>
      <c r="N190" s="62"/>
      <c r="O190" s="62"/>
      <c r="P190" s="62"/>
      <c r="Q190" s="62"/>
      <c r="R190" s="62"/>
      <c r="S190" s="62"/>
    </row>
    <row r="191" spans="2:19" ht="91.5" customHeight="1" x14ac:dyDescent="0.35">
      <c r="B191" s="230"/>
      <c r="C191" s="225"/>
      <c r="D191" s="244" t="s">
        <v>723</v>
      </c>
      <c r="E191" s="225"/>
      <c r="F191" s="268">
        <f>'PRECIO DEL METRAJE'!E194</f>
        <v>0</v>
      </c>
      <c r="G191" s="225" t="s">
        <v>608</v>
      </c>
      <c r="H191" s="272">
        <f>'PRECIO DEL METRAJE'!K194</f>
        <v>303.3</v>
      </c>
      <c r="I191" s="272">
        <f>H191*F191</f>
        <v>0</v>
      </c>
      <c r="J191" s="270"/>
      <c r="K191" s="280"/>
      <c r="M191" s="62" t="str">
        <f t="shared" si="10"/>
        <v>OCULTAR</v>
      </c>
      <c r="N191" s="62"/>
      <c r="O191" s="62"/>
      <c r="P191" s="62"/>
      <c r="Q191" s="62"/>
      <c r="R191" s="62"/>
      <c r="S191" s="62"/>
    </row>
    <row r="192" spans="2:19" ht="18" customHeight="1" x14ac:dyDescent="0.35">
      <c r="B192" s="230"/>
      <c r="C192" s="225"/>
      <c r="D192" s="229"/>
      <c r="E192" s="225"/>
      <c r="F192" s="257">
        <f>IF(K193&gt;1,1,0)</f>
        <v>0</v>
      </c>
      <c r="G192" s="257"/>
      <c r="H192" s="272"/>
      <c r="I192" s="272"/>
      <c r="J192" s="270"/>
      <c r="K192" s="280"/>
      <c r="M192" s="62" t="str">
        <f t="shared" si="10"/>
        <v>OCULTAR</v>
      </c>
      <c r="N192" s="62"/>
      <c r="O192" s="62"/>
      <c r="P192" s="62"/>
      <c r="Q192" s="62"/>
      <c r="R192" s="62"/>
      <c r="S192" s="62"/>
    </row>
    <row r="193" spans="2:19" ht="18" customHeight="1" x14ac:dyDescent="0.35">
      <c r="B193" s="250">
        <f>IF(K193&gt;0,B187+1,B187)</f>
        <v>2</v>
      </c>
      <c r="C193" s="249"/>
      <c r="D193" s="251" t="s">
        <v>179</v>
      </c>
      <c r="E193" s="261"/>
      <c r="F193" s="291">
        <f>IF(K193&gt;1,1,0)</f>
        <v>0</v>
      </c>
      <c r="G193" s="261"/>
      <c r="H193" s="275"/>
      <c r="I193" s="275"/>
      <c r="J193" s="301">
        <f>K193</f>
        <v>0</v>
      </c>
      <c r="K193" s="248">
        <f>SUM(I194:I206)</f>
        <v>0</v>
      </c>
      <c r="L193" s="63"/>
      <c r="M193" s="62" t="str">
        <f>IF(K193&gt;0.1,"MOSTRAR","OCULTAR")</f>
        <v>OCULTAR</v>
      </c>
      <c r="N193" s="62"/>
      <c r="O193" s="62"/>
      <c r="P193" s="62"/>
      <c r="Q193" s="62"/>
      <c r="R193" s="62"/>
      <c r="S193" s="62"/>
    </row>
    <row r="194" spans="2:19" ht="18" customHeight="1" x14ac:dyDescent="0.35">
      <c r="B194" s="230"/>
      <c r="C194" s="225"/>
      <c r="D194" s="260"/>
      <c r="E194" s="257"/>
      <c r="F194" s="257"/>
      <c r="G194" s="257"/>
      <c r="H194" s="276"/>
      <c r="I194" s="276"/>
      <c r="J194" s="282"/>
      <c r="K194" s="280"/>
      <c r="L194" s="57"/>
      <c r="M194" s="62" t="str">
        <f t="shared" si="10"/>
        <v>OCULTAR</v>
      </c>
      <c r="N194" s="62"/>
      <c r="O194" s="62"/>
      <c r="P194" s="62"/>
      <c r="Q194" s="62"/>
      <c r="R194" s="62"/>
      <c r="S194" s="62"/>
    </row>
    <row r="195" spans="2:19" ht="75.75" customHeight="1" x14ac:dyDescent="0.35">
      <c r="B195" s="230"/>
      <c r="C195" s="420"/>
      <c r="D195" s="229" t="s">
        <v>724</v>
      </c>
      <c r="E195" s="225"/>
      <c r="F195" s="268">
        <f>'PRECIO DEL METRAJE'!E198</f>
        <v>0</v>
      </c>
      <c r="G195" s="225" t="s">
        <v>608</v>
      </c>
      <c r="H195" s="272">
        <f>'PRECIO DEL METRAJE'!K198</f>
        <v>2666.7</v>
      </c>
      <c r="I195" s="272">
        <f>H195*F195</f>
        <v>0</v>
      </c>
      <c r="J195" s="270"/>
      <c r="K195" s="280"/>
      <c r="M195" s="62" t="str">
        <f t="shared" si="10"/>
        <v>OCULTAR</v>
      </c>
      <c r="N195" s="62"/>
      <c r="O195" s="62"/>
      <c r="P195" s="62"/>
      <c r="Q195" s="62"/>
      <c r="R195" s="62"/>
      <c r="S195" s="62"/>
    </row>
    <row r="196" spans="2:19" ht="83.25" customHeight="1" x14ac:dyDescent="0.35">
      <c r="B196" s="230"/>
      <c r="C196" s="420"/>
      <c r="D196" s="229" t="s">
        <v>725</v>
      </c>
      <c r="E196" s="225"/>
      <c r="F196" s="268">
        <f>'PRECIO DEL METRAJE'!E199</f>
        <v>0</v>
      </c>
      <c r="G196" s="225" t="s">
        <v>608</v>
      </c>
      <c r="H196" s="272">
        <f>'PRECIO DEL METRAJE'!K199</f>
        <v>0</v>
      </c>
      <c r="I196" s="272">
        <f>H196*F196</f>
        <v>0</v>
      </c>
      <c r="J196" s="270"/>
      <c r="K196" s="280"/>
      <c r="M196" s="62" t="str">
        <f t="shared" si="10"/>
        <v>OCULTAR</v>
      </c>
      <c r="N196" s="62"/>
      <c r="O196" s="62"/>
      <c r="P196" s="62"/>
      <c r="Q196" s="62"/>
      <c r="R196" s="62"/>
      <c r="S196" s="62"/>
    </row>
    <row r="197" spans="2:19" ht="0.75" customHeight="1" x14ac:dyDescent="0.35">
      <c r="B197" s="230"/>
      <c r="C197" s="420"/>
      <c r="D197" s="229"/>
      <c r="E197" s="225"/>
      <c r="F197" s="268"/>
      <c r="G197" s="225"/>
      <c r="H197" s="272"/>
      <c r="I197" s="272"/>
      <c r="J197" s="270"/>
      <c r="K197" s="280"/>
      <c r="M197" s="62" t="str">
        <f t="shared" si="10"/>
        <v>OCULTAR</v>
      </c>
      <c r="N197" s="62"/>
      <c r="O197" s="62"/>
      <c r="P197" s="62"/>
      <c r="Q197" s="62"/>
      <c r="R197" s="62"/>
      <c r="S197" s="62"/>
    </row>
    <row r="198" spans="2:19" ht="76.5" customHeight="1" x14ac:dyDescent="0.35">
      <c r="B198" s="230"/>
      <c r="C198" s="420"/>
      <c r="D198" s="229" t="s">
        <v>726</v>
      </c>
      <c r="E198" s="225"/>
      <c r="F198" s="268">
        <f>'PRECIO DEL METRAJE'!E201</f>
        <v>0</v>
      </c>
      <c r="G198" s="225" t="s">
        <v>608</v>
      </c>
      <c r="H198" s="272">
        <f>'PRECIO DEL METRAJE'!K201</f>
        <v>3560</v>
      </c>
      <c r="I198" s="272">
        <f>H198*F198</f>
        <v>0</v>
      </c>
      <c r="J198" s="270"/>
      <c r="K198" s="280"/>
      <c r="M198" s="62" t="str">
        <f t="shared" si="10"/>
        <v>OCULTAR</v>
      </c>
      <c r="N198" s="62"/>
      <c r="O198" s="62"/>
      <c r="P198" s="62"/>
      <c r="Q198" s="62"/>
      <c r="R198" s="62"/>
      <c r="S198" s="62"/>
    </row>
    <row r="199" spans="2:19" ht="55.5" customHeight="1" x14ac:dyDescent="0.35">
      <c r="B199" s="230"/>
      <c r="C199" s="420"/>
      <c r="D199" s="229" t="s">
        <v>727</v>
      </c>
      <c r="E199" s="225"/>
      <c r="F199" s="268">
        <f>'PRECIO DEL METRAJE'!E202</f>
        <v>0</v>
      </c>
      <c r="G199" s="225" t="s">
        <v>608</v>
      </c>
      <c r="H199" s="272">
        <f>'PRECIO DEL METRAJE'!K202</f>
        <v>3750</v>
      </c>
      <c r="I199" s="272">
        <f>H199*F199</f>
        <v>0</v>
      </c>
      <c r="J199" s="270"/>
      <c r="K199" s="280"/>
      <c r="M199" s="62" t="str">
        <f t="shared" si="10"/>
        <v>OCULTAR</v>
      </c>
      <c r="N199" s="62"/>
      <c r="O199" s="62"/>
      <c r="P199" s="62"/>
      <c r="Q199" s="62"/>
      <c r="R199" s="62"/>
      <c r="S199" s="62"/>
    </row>
    <row r="200" spans="2:19" ht="18" customHeight="1" x14ac:dyDescent="0.35">
      <c r="B200" s="230"/>
      <c r="C200" s="420"/>
      <c r="D200" s="229"/>
      <c r="E200" s="225"/>
      <c r="F200" s="268"/>
      <c r="G200" s="225"/>
      <c r="H200" s="272"/>
      <c r="I200" s="272"/>
      <c r="J200" s="270"/>
      <c r="K200" s="280"/>
      <c r="M200" s="62" t="str">
        <f t="shared" si="10"/>
        <v>OCULTAR</v>
      </c>
      <c r="N200" s="62"/>
      <c r="O200" s="62"/>
      <c r="P200" s="62"/>
      <c r="Q200" s="62"/>
      <c r="R200" s="62"/>
      <c r="S200" s="62"/>
    </row>
    <row r="201" spans="2:19" ht="18" customHeight="1" x14ac:dyDescent="0.35">
      <c r="B201" s="230"/>
      <c r="C201" s="421"/>
      <c r="D201" s="229" t="s">
        <v>728</v>
      </c>
      <c r="E201" s="225"/>
      <c r="F201" s="268">
        <f>'PRECIO DEL METRAJE'!E204</f>
        <v>0</v>
      </c>
      <c r="G201" s="225" t="s">
        <v>608</v>
      </c>
      <c r="H201" s="272">
        <f>'PRECIO DEL METRAJE'!K204</f>
        <v>0</v>
      </c>
      <c r="I201" s="272">
        <f t="shared" ref="I201:I202" si="11">H201*F201</f>
        <v>0</v>
      </c>
      <c r="J201" s="270"/>
      <c r="K201" s="280"/>
      <c r="M201" s="62" t="str">
        <f t="shared" si="10"/>
        <v>OCULTAR</v>
      </c>
      <c r="N201" s="62"/>
      <c r="O201" s="62"/>
      <c r="P201" s="62"/>
      <c r="Q201" s="62"/>
      <c r="R201" s="62"/>
      <c r="S201" s="62"/>
    </row>
    <row r="202" spans="2:19" ht="117" customHeight="1" x14ac:dyDescent="0.35">
      <c r="B202" s="230"/>
      <c r="C202" s="420"/>
      <c r="D202" s="229" t="s">
        <v>729</v>
      </c>
      <c r="E202" s="225"/>
      <c r="F202" s="268">
        <f>'PRECIO DEL METRAJE'!E205</f>
        <v>0</v>
      </c>
      <c r="G202" s="225" t="s">
        <v>608</v>
      </c>
      <c r="H202" s="272">
        <f>'PRECIO DEL METRAJE'!K205</f>
        <v>0</v>
      </c>
      <c r="I202" s="272">
        <f t="shared" si="11"/>
        <v>0</v>
      </c>
      <c r="J202" s="270"/>
      <c r="K202" s="280"/>
      <c r="M202" s="62" t="str">
        <f t="shared" si="10"/>
        <v>OCULTAR</v>
      </c>
      <c r="N202" s="62"/>
      <c r="O202" s="62"/>
      <c r="P202" s="62"/>
      <c r="Q202" s="62"/>
      <c r="R202" s="62"/>
      <c r="S202" s="62"/>
    </row>
    <row r="203" spans="2:19" ht="18" customHeight="1" x14ac:dyDescent="0.35">
      <c r="B203" s="230"/>
      <c r="C203" s="225"/>
      <c r="D203" s="229"/>
      <c r="E203" s="225"/>
      <c r="F203" s="268"/>
      <c r="G203" s="225"/>
      <c r="H203" s="272"/>
      <c r="I203" s="272"/>
      <c r="J203" s="270"/>
      <c r="K203" s="280"/>
      <c r="M203" s="62" t="str">
        <f t="shared" si="10"/>
        <v>OCULTAR</v>
      </c>
      <c r="N203" s="62"/>
      <c r="O203" s="62"/>
      <c r="P203" s="62"/>
      <c r="Q203" s="62"/>
      <c r="R203" s="62"/>
      <c r="S203" s="62"/>
    </row>
    <row r="204" spans="2:19" ht="18" customHeight="1" x14ac:dyDescent="0.35">
      <c r="B204" s="230"/>
      <c r="C204" s="225"/>
      <c r="D204" s="229" t="s">
        <v>730</v>
      </c>
      <c r="E204" s="225"/>
      <c r="F204" s="268">
        <f>'PRECIO DEL METRAJE'!E207</f>
        <v>0</v>
      </c>
      <c r="G204" s="225" t="s">
        <v>608</v>
      </c>
      <c r="H204" s="272">
        <f>'PRECIO DEL METRAJE'!K207</f>
        <v>0</v>
      </c>
      <c r="I204" s="272">
        <f>H204*F204</f>
        <v>0</v>
      </c>
      <c r="J204" s="270"/>
      <c r="K204" s="280"/>
      <c r="M204" s="62" t="str">
        <f t="shared" si="10"/>
        <v>OCULTAR</v>
      </c>
      <c r="N204" s="62"/>
      <c r="O204" s="62"/>
      <c r="P204" s="62"/>
      <c r="Q204" s="62"/>
      <c r="R204" s="62"/>
      <c r="S204" s="62"/>
    </row>
    <row r="205" spans="2:19" ht="18" customHeight="1" x14ac:dyDescent="0.35">
      <c r="B205" s="230"/>
      <c r="C205" s="225"/>
      <c r="D205" s="229" t="s">
        <v>731</v>
      </c>
      <c r="E205" s="225"/>
      <c r="F205" s="268">
        <f>'PRECIO DEL METRAJE'!E208</f>
        <v>0</v>
      </c>
      <c r="G205" s="225" t="s">
        <v>608</v>
      </c>
      <c r="H205" s="272">
        <f>'PRECIO DEL METRAJE'!K208</f>
        <v>0</v>
      </c>
      <c r="I205" s="272">
        <f>H205*F205</f>
        <v>0</v>
      </c>
      <c r="J205" s="270"/>
      <c r="K205" s="280"/>
      <c r="M205" s="62" t="str">
        <f t="shared" si="10"/>
        <v>OCULTAR</v>
      </c>
      <c r="N205" s="62"/>
      <c r="O205" s="62"/>
      <c r="P205" s="62"/>
      <c r="Q205" s="62"/>
      <c r="R205" s="62"/>
      <c r="S205" s="62"/>
    </row>
    <row r="206" spans="2:19" ht="18" customHeight="1" x14ac:dyDescent="0.35">
      <c r="B206" s="230"/>
      <c r="C206" s="225"/>
      <c r="D206" s="229" t="s">
        <v>732</v>
      </c>
      <c r="E206" s="225"/>
      <c r="F206" s="268">
        <f>'PRECIO DEL METRAJE'!E209</f>
        <v>0</v>
      </c>
      <c r="G206" s="225" t="s">
        <v>608</v>
      </c>
      <c r="H206" s="272">
        <f>'PRECIO DEL METRAJE'!K209</f>
        <v>131</v>
      </c>
      <c r="I206" s="272">
        <f>H206*F206</f>
        <v>0</v>
      </c>
      <c r="J206" s="270"/>
      <c r="K206" s="280"/>
      <c r="M206" s="62" t="str">
        <f t="shared" si="10"/>
        <v>OCULTAR</v>
      </c>
      <c r="N206" s="62"/>
      <c r="O206" s="62"/>
      <c r="P206" s="62"/>
      <c r="Q206" s="62"/>
      <c r="R206" s="62"/>
      <c r="S206" s="62"/>
    </row>
    <row r="207" spans="2:19" ht="18" customHeight="1" x14ac:dyDescent="0.35">
      <c r="B207" s="230"/>
      <c r="C207" s="225"/>
      <c r="D207" s="229"/>
      <c r="E207" s="225"/>
      <c r="F207" s="257">
        <f>IF(K208&gt;1,1,0)</f>
        <v>0</v>
      </c>
      <c r="G207" s="257"/>
      <c r="H207" s="272"/>
      <c r="I207" s="272"/>
      <c r="J207" s="270"/>
      <c r="K207" s="280"/>
      <c r="M207" s="62" t="str">
        <f t="shared" si="10"/>
        <v>OCULTAR</v>
      </c>
      <c r="N207" s="62"/>
      <c r="O207" s="62"/>
      <c r="P207" s="62"/>
      <c r="Q207" s="62"/>
      <c r="R207" s="62"/>
      <c r="S207" s="62"/>
    </row>
    <row r="208" spans="2:19" ht="18" customHeight="1" x14ac:dyDescent="0.35">
      <c r="B208" s="250">
        <f>IF(K208&gt;0,B193+1,B193)</f>
        <v>2</v>
      </c>
      <c r="C208" s="249"/>
      <c r="D208" s="251" t="s">
        <v>733</v>
      </c>
      <c r="E208" s="261"/>
      <c r="F208" s="291">
        <f>IF(K208&gt;1,1,0)</f>
        <v>0</v>
      </c>
      <c r="G208" s="261"/>
      <c r="H208" s="275"/>
      <c r="I208" s="275"/>
      <c r="J208" s="301">
        <f>K208</f>
        <v>0</v>
      </c>
      <c r="K208" s="248">
        <f>SUM(I209:I218)</f>
        <v>0</v>
      </c>
      <c r="L208" s="63"/>
      <c r="M208" s="62" t="str">
        <f>IF(K208&gt;0.1,"MOSTRAR","OCULTAR")</f>
        <v>OCULTAR</v>
      </c>
      <c r="N208" s="62"/>
      <c r="O208" s="62"/>
      <c r="P208" s="62"/>
      <c r="Q208" s="62"/>
      <c r="R208" s="62"/>
      <c r="S208" s="62"/>
    </row>
    <row r="209" spans="2:19" ht="18" customHeight="1" x14ac:dyDescent="0.35">
      <c r="B209" s="230"/>
      <c r="C209" s="225"/>
      <c r="D209" s="260"/>
      <c r="E209" s="257"/>
      <c r="F209" s="257"/>
      <c r="G209" s="257"/>
      <c r="H209" s="276"/>
      <c r="I209" s="276"/>
      <c r="J209" s="282"/>
      <c r="K209" s="280"/>
      <c r="L209" s="57"/>
      <c r="M209" s="62" t="str">
        <f t="shared" si="10"/>
        <v>OCULTAR</v>
      </c>
      <c r="N209" s="62"/>
      <c r="O209" s="62"/>
      <c r="P209" s="62"/>
      <c r="Q209" s="62"/>
      <c r="R209" s="62"/>
      <c r="S209" s="62"/>
    </row>
    <row r="210" spans="2:19" ht="63.75" customHeight="1" x14ac:dyDescent="0.35">
      <c r="B210" s="230"/>
      <c r="C210" s="225"/>
      <c r="D210" s="229" t="s">
        <v>734</v>
      </c>
      <c r="E210" s="225"/>
      <c r="F210" s="268">
        <f>'PRECIO DEL METRAJE'!E213</f>
        <v>0</v>
      </c>
      <c r="G210" s="225" t="s">
        <v>608</v>
      </c>
      <c r="H210" s="272">
        <f>'PRECIO DEL METRAJE'!K213</f>
        <v>293.40000000000003</v>
      </c>
      <c r="I210" s="272">
        <f t="shared" ref="I210:I218" si="12">H210*F210</f>
        <v>0</v>
      </c>
      <c r="J210" s="270"/>
      <c r="K210" s="280"/>
      <c r="M210" s="62" t="str">
        <f t="shared" si="10"/>
        <v>OCULTAR</v>
      </c>
      <c r="N210" s="62"/>
      <c r="O210" s="62"/>
      <c r="P210" s="62"/>
      <c r="Q210" s="62"/>
      <c r="R210" s="62"/>
      <c r="S210" s="62"/>
    </row>
    <row r="211" spans="2:19" ht="52.5" customHeight="1" x14ac:dyDescent="0.35">
      <c r="B211" s="230"/>
      <c r="C211" s="225"/>
      <c r="D211" s="229" t="s">
        <v>735</v>
      </c>
      <c r="E211" s="225"/>
      <c r="F211" s="268">
        <f>'PRECIO DEL METRAJE'!E214</f>
        <v>0</v>
      </c>
      <c r="G211" s="225" t="s">
        <v>608</v>
      </c>
      <c r="H211" s="272">
        <f>'PRECIO DEL METRAJE'!K214</f>
        <v>235</v>
      </c>
      <c r="I211" s="272">
        <f t="shared" si="12"/>
        <v>0</v>
      </c>
      <c r="J211" s="270"/>
      <c r="K211" s="280"/>
      <c r="M211" s="62" t="str">
        <f t="shared" si="10"/>
        <v>OCULTAR</v>
      </c>
      <c r="N211" s="62"/>
      <c r="O211" s="62"/>
      <c r="P211" s="62"/>
      <c r="Q211" s="62"/>
      <c r="R211" s="62"/>
      <c r="S211" s="62"/>
    </row>
    <row r="212" spans="2:19" ht="71.25" customHeight="1" x14ac:dyDescent="0.35">
      <c r="B212" s="230"/>
      <c r="C212" s="225"/>
      <c r="D212" s="229" t="s">
        <v>736</v>
      </c>
      <c r="E212" s="225"/>
      <c r="F212" s="268">
        <f>'PRECIO DEL METRAJE'!E215</f>
        <v>0</v>
      </c>
      <c r="G212" s="225" t="s">
        <v>608</v>
      </c>
      <c r="H212" s="272">
        <f>'PRECIO DEL METRAJE'!K215</f>
        <v>162.5</v>
      </c>
      <c r="I212" s="272">
        <f t="shared" si="12"/>
        <v>0</v>
      </c>
      <c r="J212" s="270"/>
      <c r="K212" s="280"/>
      <c r="M212" s="62" t="str">
        <f t="shared" si="10"/>
        <v>OCULTAR</v>
      </c>
      <c r="N212" s="62"/>
      <c r="O212" s="62"/>
      <c r="P212" s="62"/>
      <c r="Q212" s="62"/>
      <c r="R212" s="62"/>
      <c r="S212" s="62"/>
    </row>
    <row r="213" spans="2:19" ht="18" customHeight="1" x14ac:dyDescent="0.35">
      <c r="B213" s="230"/>
      <c r="C213" s="225"/>
      <c r="D213" s="229" t="s">
        <v>737</v>
      </c>
      <c r="E213" s="225"/>
      <c r="F213" s="268">
        <f>'PRECIO DEL METRAJE'!E216</f>
        <v>0</v>
      </c>
      <c r="G213" s="225" t="s">
        <v>608</v>
      </c>
      <c r="H213" s="272">
        <f>'PRECIO DEL METRAJE'!K216</f>
        <v>105.5</v>
      </c>
      <c r="I213" s="272">
        <f t="shared" si="12"/>
        <v>0</v>
      </c>
      <c r="J213" s="270"/>
      <c r="K213" s="280"/>
      <c r="M213" s="62" t="str">
        <f t="shared" si="10"/>
        <v>OCULTAR</v>
      </c>
      <c r="N213" s="62"/>
      <c r="O213" s="62"/>
      <c r="P213" s="62"/>
      <c r="Q213" s="62"/>
      <c r="R213" s="62"/>
      <c r="S213" s="62"/>
    </row>
    <row r="214" spans="2:19" ht="76.5" customHeight="1" x14ac:dyDescent="0.35">
      <c r="B214" s="230"/>
      <c r="C214" s="225"/>
      <c r="D214" s="229" t="s">
        <v>738</v>
      </c>
      <c r="E214" s="225"/>
      <c r="F214" s="268">
        <f>'PRECIO DEL METRAJE'!E217</f>
        <v>0</v>
      </c>
      <c r="G214" s="225" t="s">
        <v>608</v>
      </c>
      <c r="H214" s="272">
        <f>'PRECIO DEL METRAJE'!K217</f>
        <v>77.5</v>
      </c>
      <c r="I214" s="272">
        <f t="shared" si="12"/>
        <v>0</v>
      </c>
      <c r="J214" s="270"/>
      <c r="K214" s="280"/>
      <c r="M214" s="62" t="str">
        <f t="shared" si="10"/>
        <v>OCULTAR</v>
      </c>
      <c r="N214" s="62"/>
      <c r="O214" s="62"/>
      <c r="P214" s="62"/>
      <c r="Q214" s="62"/>
      <c r="R214" s="62"/>
      <c r="S214" s="62"/>
    </row>
    <row r="215" spans="2:19" ht="82.5" customHeight="1" x14ac:dyDescent="0.35">
      <c r="B215" s="230"/>
      <c r="C215" s="225"/>
      <c r="D215" s="229" t="s">
        <v>739</v>
      </c>
      <c r="E215" s="225"/>
      <c r="F215" s="268">
        <f>'PRECIO DEL METRAJE'!E218</f>
        <v>0</v>
      </c>
      <c r="G215" s="225" t="s">
        <v>608</v>
      </c>
      <c r="H215" s="272">
        <f>'PRECIO DEL METRAJE'!K218</f>
        <v>42.5</v>
      </c>
      <c r="I215" s="272">
        <f t="shared" si="12"/>
        <v>0</v>
      </c>
      <c r="J215" s="270"/>
      <c r="K215" s="280"/>
      <c r="M215" s="62" t="str">
        <f t="shared" si="10"/>
        <v>OCULTAR</v>
      </c>
      <c r="N215" s="62"/>
      <c r="O215" s="62"/>
      <c r="P215" s="62"/>
      <c r="Q215" s="62"/>
      <c r="R215" s="62"/>
      <c r="S215" s="62"/>
    </row>
    <row r="216" spans="2:19" ht="73.5" customHeight="1" x14ac:dyDescent="0.35">
      <c r="B216" s="230"/>
      <c r="C216" s="225"/>
      <c r="D216" s="229" t="s">
        <v>740</v>
      </c>
      <c r="E216" s="225"/>
      <c r="F216" s="268">
        <f>'PRECIO DEL METRAJE'!E219</f>
        <v>0</v>
      </c>
      <c r="G216" s="225" t="s">
        <v>608</v>
      </c>
      <c r="H216" s="272">
        <f>'PRECIO DEL METRAJE'!K219</f>
        <v>853.4</v>
      </c>
      <c r="I216" s="272">
        <f t="shared" si="12"/>
        <v>0</v>
      </c>
      <c r="J216" s="270"/>
      <c r="K216" s="280"/>
      <c r="M216" s="62" t="str">
        <f t="shared" si="10"/>
        <v>OCULTAR</v>
      </c>
      <c r="N216" s="62"/>
      <c r="O216" s="62"/>
      <c r="P216" s="62"/>
      <c r="Q216" s="62"/>
      <c r="R216" s="62"/>
      <c r="S216" s="62"/>
    </row>
    <row r="217" spans="2:19" ht="57.75" customHeight="1" x14ac:dyDescent="0.35">
      <c r="B217" s="230"/>
      <c r="C217" s="225"/>
      <c r="D217" s="229" t="s">
        <v>741</v>
      </c>
      <c r="E217" s="225"/>
      <c r="F217" s="268">
        <f>'PRECIO DEL METRAJE'!E220</f>
        <v>0</v>
      </c>
      <c r="G217" s="225" t="s">
        <v>608</v>
      </c>
      <c r="H217" s="272">
        <f>'PRECIO DEL METRAJE'!K220</f>
        <v>1291.6999999999998</v>
      </c>
      <c r="I217" s="272">
        <f t="shared" si="12"/>
        <v>0</v>
      </c>
      <c r="J217" s="270"/>
      <c r="K217" s="280"/>
      <c r="M217" s="62" t="str">
        <f t="shared" si="10"/>
        <v>OCULTAR</v>
      </c>
      <c r="N217" s="62"/>
      <c r="O217" s="62"/>
      <c r="P217" s="62"/>
      <c r="Q217" s="62"/>
      <c r="R217" s="62"/>
      <c r="S217" s="62"/>
    </row>
    <row r="218" spans="2:19" ht="18" customHeight="1" x14ac:dyDescent="0.35">
      <c r="B218" s="230"/>
      <c r="C218" s="225"/>
      <c r="D218" s="229" t="s">
        <v>742</v>
      </c>
      <c r="E218" s="225"/>
      <c r="F218" s="268">
        <f>'PRECIO DEL METRAJE'!E221</f>
        <v>0</v>
      </c>
      <c r="G218" s="225" t="s">
        <v>608</v>
      </c>
      <c r="H218" s="272">
        <f>'PRECIO DEL METRAJE'!K221</f>
        <v>333.40000000000003</v>
      </c>
      <c r="I218" s="272">
        <f t="shared" si="12"/>
        <v>0</v>
      </c>
      <c r="J218" s="270"/>
      <c r="K218" s="280"/>
      <c r="M218" s="62" t="str">
        <f t="shared" si="10"/>
        <v>OCULTAR</v>
      </c>
      <c r="N218" s="62"/>
      <c r="O218" s="62"/>
      <c r="P218" s="62"/>
      <c r="Q218" s="62"/>
      <c r="R218" s="62"/>
      <c r="S218" s="62"/>
    </row>
    <row r="219" spans="2:19" ht="18" customHeight="1" x14ac:dyDescent="0.35">
      <c r="B219" s="230"/>
      <c r="C219" s="225"/>
      <c r="D219" s="229"/>
      <c r="E219" s="225"/>
      <c r="F219" s="257">
        <f>IF(K220&gt;1,1,0)</f>
        <v>0</v>
      </c>
      <c r="G219" s="257"/>
      <c r="H219" s="272"/>
      <c r="I219" s="272"/>
      <c r="J219" s="270"/>
      <c r="K219" s="280"/>
      <c r="M219" s="62" t="str">
        <f t="shared" si="10"/>
        <v>OCULTAR</v>
      </c>
      <c r="N219" s="62"/>
      <c r="O219" s="62"/>
      <c r="P219" s="62"/>
      <c r="Q219" s="62"/>
      <c r="R219" s="62"/>
      <c r="S219" s="62"/>
    </row>
    <row r="220" spans="2:19" ht="18" customHeight="1" x14ac:dyDescent="0.35">
      <c r="B220" s="250">
        <f>IF(K220&gt;0,B208+1,B208)</f>
        <v>2</v>
      </c>
      <c r="C220" s="249"/>
      <c r="D220" s="251" t="s">
        <v>743</v>
      </c>
      <c r="E220" s="261"/>
      <c r="F220" s="291">
        <f>IF(K220&gt;1,1,0)</f>
        <v>0</v>
      </c>
      <c r="G220" s="261"/>
      <c r="H220" s="275"/>
      <c r="I220" s="275"/>
      <c r="J220" s="301">
        <f>K220</f>
        <v>0</v>
      </c>
      <c r="K220" s="248">
        <f>SUM(I221:I228)</f>
        <v>0</v>
      </c>
      <c r="L220" s="63"/>
      <c r="M220" s="62" t="str">
        <f>IF(K220&gt;0.1,"MOSTRAR","OCULTAR")</f>
        <v>OCULTAR</v>
      </c>
      <c r="N220" s="62"/>
      <c r="O220" s="62"/>
      <c r="P220" s="62"/>
      <c r="Q220" s="62"/>
      <c r="R220" s="62"/>
      <c r="S220" s="62"/>
    </row>
    <row r="221" spans="2:19" ht="18" customHeight="1" x14ac:dyDescent="0.35">
      <c r="B221" s="230"/>
      <c r="C221" s="225"/>
      <c r="D221" s="260"/>
      <c r="E221" s="257"/>
      <c r="F221" s="257"/>
      <c r="G221" s="257"/>
      <c r="H221" s="276"/>
      <c r="I221" s="276"/>
      <c r="J221" s="282"/>
      <c r="K221" s="280"/>
      <c r="L221" s="57"/>
      <c r="M221" s="62" t="str">
        <f t="shared" si="10"/>
        <v>OCULTAR</v>
      </c>
      <c r="N221" s="62"/>
      <c r="O221" s="62"/>
      <c r="P221" s="62"/>
      <c r="Q221" s="62"/>
      <c r="R221" s="62"/>
      <c r="S221" s="62"/>
    </row>
    <row r="222" spans="2:19" ht="60.75" customHeight="1" x14ac:dyDescent="0.35">
      <c r="B222" s="230"/>
      <c r="C222" s="225"/>
      <c r="D222" s="244" t="s">
        <v>1213</v>
      </c>
      <c r="E222" s="225"/>
      <c r="F222" s="268">
        <f>'PRECIO DEL METRAJE'!E225</f>
        <v>0</v>
      </c>
      <c r="G222" s="225" t="s">
        <v>215</v>
      </c>
      <c r="H222" s="272">
        <f>'PRECIO DEL METRAJE'!K225</f>
        <v>227.7</v>
      </c>
      <c r="I222" s="272">
        <f>H222*F222</f>
        <v>0</v>
      </c>
      <c r="J222" s="270"/>
      <c r="K222" s="280"/>
      <c r="M222" s="62" t="str">
        <f t="shared" si="10"/>
        <v>OCULTAR</v>
      </c>
      <c r="N222" s="62"/>
      <c r="O222" s="62"/>
      <c r="P222" s="62"/>
      <c r="Q222" s="62"/>
      <c r="R222" s="62"/>
      <c r="S222" s="62"/>
    </row>
    <row r="223" spans="2:19" ht="80.25" customHeight="1" x14ac:dyDescent="0.35">
      <c r="B223" s="230"/>
      <c r="C223" s="225"/>
      <c r="D223" s="235" t="s">
        <v>1214</v>
      </c>
      <c r="E223" s="225"/>
      <c r="F223" s="268">
        <f>'PRECIO DEL METRAJE'!E226</f>
        <v>0</v>
      </c>
      <c r="G223" s="225" t="s">
        <v>215</v>
      </c>
      <c r="H223" s="272">
        <f>'PRECIO DEL METRAJE'!K226</f>
        <v>43.2</v>
      </c>
      <c r="I223" s="272">
        <f>H223*F223</f>
        <v>0</v>
      </c>
      <c r="J223" s="270"/>
      <c r="K223" s="280"/>
      <c r="M223" s="62" t="str">
        <f t="shared" si="10"/>
        <v>OCULTAR</v>
      </c>
      <c r="N223" s="62"/>
      <c r="O223" s="62"/>
      <c r="P223" s="62"/>
      <c r="Q223" s="62"/>
      <c r="R223" s="62"/>
      <c r="S223" s="62"/>
    </row>
    <row r="224" spans="2:19" ht="14.5" x14ac:dyDescent="0.35">
      <c r="B224" s="230"/>
      <c r="C224" s="225"/>
      <c r="D224" s="229" t="s">
        <v>594</v>
      </c>
      <c r="E224" s="225"/>
      <c r="F224" s="268">
        <f>'PRECIO DEL METRAJE'!E227</f>
        <v>0</v>
      </c>
      <c r="G224" s="225" t="s">
        <v>215</v>
      </c>
      <c r="H224" s="272">
        <f>'PRECIO DEL METRAJE'!K227</f>
        <v>0</v>
      </c>
      <c r="I224" s="272">
        <f t="shared" ref="I224:I227" si="13">H224*F224</f>
        <v>0</v>
      </c>
      <c r="J224" s="270"/>
      <c r="K224" s="280"/>
      <c r="M224" s="62" t="str">
        <f t="shared" si="10"/>
        <v>OCULTAR</v>
      </c>
      <c r="N224" s="62"/>
      <c r="O224" s="62"/>
      <c r="P224" s="62"/>
      <c r="Q224" s="62"/>
      <c r="R224" s="62"/>
      <c r="S224" s="62"/>
    </row>
    <row r="225" spans="2:19" ht="14.5" x14ac:dyDescent="0.35">
      <c r="B225" s="230"/>
      <c r="C225" s="225"/>
      <c r="D225" s="229" t="s">
        <v>744</v>
      </c>
      <c r="E225" s="225"/>
      <c r="F225" s="268">
        <f>'PRECIO DEL METRAJE'!E228</f>
        <v>0</v>
      </c>
      <c r="G225" s="225" t="s">
        <v>215</v>
      </c>
      <c r="H225" s="272">
        <f>'PRECIO DEL METRAJE'!K228</f>
        <v>0</v>
      </c>
      <c r="I225" s="272">
        <f t="shared" si="13"/>
        <v>0</v>
      </c>
      <c r="J225" s="270"/>
      <c r="K225" s="280"/>
      <c r="M225" s="62" t="str">
        <f t="shared" si="10"/>
        <v>OCULTAR</v>
      </c>
      <c r="N225" s="62"/>
      <c r="O225" s="62"/>
      <c r="P225" s="62"/>
      <c r="Q225" s="62"/>
      <c r="R225" s="62"/>
      <c r="S225" s="62"/>
    </row>
    <row r="226" spans="2:19" ht="14.5" x14ac:dyDescent="0.35">
      <c r="B226" s="230"/>
      <c r="C226" s="225"/>
      <c r="D226" s="229" t="s">
        <v>745</v>
      </c>
      <c r="E226" s="225"/>
      <c r="F226" s="268">
        <f>'PRECIO DEL METRAJE'!E229</f>
        <v>0</v>
      </c>
      <c r="G226" s="225" t="s">
        <v>215</v>
      </c>
      <c r="H226" s="272">
        <f>'PRECIO DEL METRAJE'!K229</f>
        <v>0</v>
      </c>
      <c r="I226" s="272">
        <f t="shared" si="13"/>
        <v>0</v>
      </c>
      <c r="J226" s="270"/>
      <c r="K226" s="280"/>
      <c r="M226" s="62" t="str">
        <f t="shared" si="10"/>
        <v>OCULTAR</v>
      </c>
      <c r="N226" s="62"/>
      <c r="O226" s="62"/>
      <c r="P226" s="62"/>
      <c r="Q226" s="62"/>
      <c r="R226" s="62"/>
      <c r="S226" s="62"/>
    </row>
    <row r="227" spans="2:19" ht="80.25" customHeight="1" x14ac:dyDescent="0.35">
      <c r="B227" s="230"/>
      <c r="C227" s="225"/>
      <c r="D227" s="235" t="s">
        <v>1215</v>
      </c>
      <c r="E227" s="225"/>
      <c r="F227" s="268">
        <f>'PRECIO DEL METRAJE'!E230</f>
        <v>0</v>
      </c>
      <c r="G227" s="225" t="s">
        <v>215</v>
      </c>
      <c r="H227" s="272">
        <f>'PRECIO DEL METRAJE'!K230</f>
        <v>540</v>
      </c>
      <c r="I227" s="272">
        <f t="shared" si="13"/>
        <v>0</v>
      </c>
      <c r="J227" s="270"/>
      <c r="K227" s="280"/>
      <c r="M227" s="62" t="str">
        <f t="shared" si="10"/>
        <v>OCULTAR</v>
      </c>
      <c r="N227" s="62"/>
      <c r="O227" s="62"/>
      <c r="P227" s="62"/>
      <c r="Q227" s="62"/>
      <c r="R227" s="62"/>
      <c r="S227" s="62"/>
    </row>
    <row r="228" spans="2:19" ht="79.5" customHeight="1" x14ac:dyDescent="0.35">
      <c r="B228" s="230"/>
      <c r="C228" s="225"/>
      <c r="D228" s="235" t="s">
        <v>1216</v>
      </c>
      <c r="E228" s="225"/>
      <c r="F228" s="268">
        <f>'PRECIO DEL METRAJE'!E231</f>
        <v>0</v>
      </c>
      <c r="G228" s="225" t="s">
        <v>608</v>
      </c>
      <c r="H228" s="272">
        <f>'PRECIO DEL METRAJE'!K231</f>
        <v>98.6</v>
      </c>
      <c r="I228" s="272">
        <f>H228*F228</f>
        <v>0</v>
      </c>
      <c r="J228" s="270"/>
      <c r="K228" s="280"/>
      <c r="M228" s="62" t="str">
        <f t="shared" si="10"/>
        <v>OCULTAR</v>
      </c>
      <c r="N228" s="62"/>
      <c r="O228" s="62"/>
      <c r="P228" s="62"/>
      <c r="Q228" s="62"/>
      <c r="R228" s="62"/>
      <c r="S228" s="62"/>
    </row>
    <row r="229" spans="2:19" ht="18" customHeight="1" x14ac:dyDescent="0.35">
      <c r="B229" s="230"/>
      <c r="C229" s="225"/>
      <c r="D229" s="229"/>
      <c r="E229" s="225"/>
      <c r="F229" s="257">
        <f>IF(K230&gt;1,1,0)</f>
        <v>0</v>
      </c>
      <c r="G229" s="257"/>
      <c r="H229" s="272"/>
      <c r="I229" s="272"/>
      <c r="J229" s="270"/>
      <c r="K229" s="280"/>
      <c r="M229" s="62" t="str">
        <f t="shared" si="10"/>
        <v>OCULTAR</v>
      </c>
      <c r="N229" s="62"/>
      <c r="O229" s="62"/>
      <c r="P229" s="62"/>
      <c r="Q229" s="62"/>
      <c r="R229" s="62"/>
      <c r="S229" s="62"/>
    </row>
    <row r="230" spans="2:19" ht="18" customHeight="1" x14ac:dyDescent="0.35">
      <c r="B230" s="250">
        <f>IF(K230&gt;0,B220+1,B220)</f>
        <v>2</v>
      </c>
      <c r="C230" s="249"/>
      <c r="D230" s="251" t="s">
        <v>746</v>
      </c>
      <c r="E230" s="261"/>
      <c r="F230" s="291">
        <f>IF(K230&gt;1,1,0)</f>
        <v>0</v>
      </c>
      <c r="G230" s="261"/>
      <c r="H230" s="275"/>
      <c r="I230" s="275"/>
      <c r="J230" s="301">
        <f>K230</f>
        <v>0</v>
      </c>
      <c r="K230" s="248">
        <f>SUM(I231:I233)</f>
        <v>0</v>
      </c>
      <c r="L230" s="63"/>
      <c r="M230" s="62" t="str">
        <f>IF(K230&gt;0.1,"MOSTRAR","OCULTAR")</f>
        <v>OCULTAR</v>
      </c>
      <c r="N230" s="62"/>
      <c r="O230" s="62"/>
      <c r="P230" s="62"/>
      <c r="Q230" s="62"/>
      <c r="R230" s="62"/>
      <c r="S230" s="62"/>
    </row>
    <row r="231" spans="2:19" ht="18" customHeight="1" x14ac:dyDescent="0.35">
      <c r="B231" s="230"/>
      <c r="C231" s="225"/>
      <c r="D231" s="260"/>
      <c r="E231" s="257"/>
      <c r="F231" s="257"/>
      <c r="G231" s="257"/>
      <c r="H231" s="276"/>
      <c r="I231" s="276"/>
      <c r="J231" s="282"/>
      <c r="K231" s="280"/>
      <c r="L231" s="57"/>
      <c r="M231" s="62" t="str">
        <f t="shared" si="10"/>
        <v>OCULTAR</v>
      </c>
      <c r="N231" s="62"/>
      <c r="O231" s="62"/>
      <c r="P231" s="62"/>
      <c r="Q231" s="62"/>
      <c r="R231" s="62"/>
      <c r="S231" s="62"/>
    </row>
    <row r="232" spans="2:19" ht="90.75" customHeight="1" x14ac:dyDescent="0.35">
      <c r="B232" s="230"/>
      <c r="C232" s="225"/>
      <c r="D232" s="229" t="s">
        <v>747</v>
      </c>
      <c r="E232" s="225"/>
      <c r="F232" s="268">
        <f>'PRECIO DEL METRAJE'!E235</f>
        <v>0</v>
      </c>
      <c r="G232" s="225" t="s">
        <v>215</v>
      </c>
      <c r="H232" s="272">
        <f>'PRECIO DEL METRAJE'!K235</f>
        <v>134.19999999999999</v>
      </c>
      <c r="I232" s="272">
        <f>H232*F232</f>
        <v>0</v>
      </c>
      <c r="J232" s="295"/>
      <c r="K232" s="280"/>
      <c r="M232" s="62" t="str">
        <f t="shared" si="10"/>
        <v>OCULTAR</v>
      </c>
      <c r="N232" s="62"/>
      <c r="O232" s="62"/>
      <c r="P232" s="62"/>
      <c r="Q232" s="62"/>
      <c r="R232" s="62"/>
      <c r="S232" s="62"/>
    </row>
    <row r="233" spans="2:19" ht="79.5" customHeight="1" x14ac:dyDescent="0.35">
      <c r="B233" s="230"/>
      <c r="C233" s="225"/>
      <c r="D233" s="229" t="s">
        <v>748</v>
      </c>
      <c r="E233" s="225"/>
      <c r="F233" s="268">
        <f>'PRECIO DEL METRAJE'!E236</f>
        <v>0</v>
      </c>
      <c r="G233" s="225" t="s">
        <v>215</v>
      </c>
      <c r="H233" s="272">
        <f>'PRECIO DEL METRAJE'!K236</f>
        <v>246.7</v>
      </c>
      <c r="I233" s="272">
        <f>H233*F233</f>
        <v>0</v>
      </c>
      <c r="J233" s="295"/>
      <c r="K233" s="280"/>
      <c r="M233" s="62" t="str">
        <f t="shared" si="10"/>
        <v>OCULTAR</v>
      </c>
      <c r="N233" s="62"/>
      <c r="O233" s="62"/>
      <c r="P233" s="62"/>
      <c r="Q233" s="62"/>
      <c r="R233" s="62"/>
      <c r="S233" s="62"/>
    </row>
    <row r="234" spans="2:19" ht="18" customHeight="1" x14ac:dyDescent="0.35">
      <c r="B234" s="230"/>
      <c r="C234" s="225"/>
      <c r="D234" s="229"/>
      <c r="E234" s="225"/>
      <c r="F234" s="257">
        <f>IF(K235&gt;1,1,0)</f>
        <v>0</v>
      </c>
      <c r="G234" s="257"/>
      <c r="H234" s="272"/>
      <c r="I234" s="272"/>
      <c r="J234" s="295"/>
      <c r="K234" s="280"/>
      <c r="M234" s="62" t="str">
        <f t="shared" si="10"/>
        <v>OCULTAR</v>
      </c>
      <c r="N234" s="62"/>
      <c r="O234" s="62"/>
      <c r="P234" s="62"/>
      <c r="Q234" s="62"/>
      <c r="R234" s="62"/>
      <c r="S234" s="62"/>
    </row>
    <row r="235" spans="2:19" ht="18" customHeight="1" x14ac:dyDescent="0.35">
      <c r="B235" s="250">
        <f>IF(K235&gt;0,B230+1,B230)</f>
        <v>2</v>
      </c>
      <c r="C235" s="249"/>
      <c r="D235" s="251" t="s">
        <v>209</v>
      </c>
      <c r="E235" s="261"/>
      <c r="F235" s="291">
        <f>IF(K235&gt;1,1,0)</f>
        <v>0</v>
      </c>
      <c r="G235" s="261"/>
      <c r="H235" s="275"/>
      <c r="I235" s="275"/>
      <c r="J235" s="301">
        <f>K235</f>
        <v>0</v>
      </c>
      <c r="K235" s="248">
        <f>SUM(I236:I239)</f>
        <v>0</v>
      </c>
      <c r="L235" s="63"/>
      <c r="M235" s="62" t="str">
        <f>IF(K235&gt;0.1,"MOSTRAR","OCULTAR")</f>
        <v>OCULTAR</v>
      </c>
      <c r="N235" s="62"/>
      <c r="O235" s="62"/>
      <c r="P235" s="62"/>
      <c r="Q235" s="62"/>
      <c r="R235" s="62"/>
      <c r="S235" s="62"/>
    </row>
    <row r="236" spans="2:19" ht="18" customHeight="1" x14ac:dyDescent="0.35">
      <c r="B236" s="230"/>
      <c r="C236" s="225"/>
      <c r="D236" s="229" t="s">
        <v>599</v>
      </c>
      <c r="E236" s="225"/>
      <c r="F236" s="268">
        <f>'PRECIO DEL METRAJE'!E239</f>
        <v>0</v>
      </c>
      <c r="G236" s="225" t="s">
        <v>608</v>
      </c>
      <c r="H236" s="272">
        <f>'PRECIO DEL METRAJE'!K239</f>
        <v>0</v>
      </c>
      <c r="I236" s="272">
        <f>H236*F236</f>
        <v>0</v>
      </c>
      <c r="J236" s="270"/>
      <c r="K236" s="280"/>
      <c r="M236" s="62" t="str">
        <f t="shared" ref="M236:M238" si="14">IF(F236&gt;0.1,"MOSTRAR","OCULTAR")</f>
        <v>OCULTAR</v>
      </c>
      <c r="N236" s="62"/>
      <c r="O236" s="62"/>
      <c r="P236" s="62"/>
      <c r="Q236" s="62"/>
      <c r="R236" s="62"/>
      <c r="S236" s="62"/>
    </row>
    <row r="237" spans="2:19" ht="18" customHeight="1" x14ac:dyDescent="0.35">
      <c r="B237" s="230"/>
      <c r="C237" s="225"/>
      <c r="D237" s="229" t="s">
        <v>599</v>
      </c>
      <c r="E237" s="225"/>
      <c r="F237" s="268">
        <f>'PRECIO DEL METRAJE'!E240</f>
        <v>0</v>
      </c>
      <c r="G237" s="225" t="s">
        <v>608</v>
      </c>
      <c r="H237" s="272">
        <f>'PRECIO DEL METRAJE'!K240</f>
        <v>0</v>
      </c>
      <c r="I237" s="272">
        <f>H237*F237</f>
        <v>0</v>
      </c>
      <c r="J237" s="270"/>
      <c r="K237" s="280"/>
      <c r="M237" s="62" t="str">
        <f t="shared" si="14"/>
        <v>OCULTAR</v>
      </c>
      <c r="N237" s="62"/>
      <c r="O237" s="62"/>
      <c r="P237" s="62"/>
      <c r="Q237" s="62"/>
      <c r="R237" s="62"/>
      <c r="S237" s="62"/>
    </row>
    <row r="238" spans="2:19" ht="18" customHeight="1" x14ac:dyDescent="0.35">
      <c r="B238" s="230"/>
      <c r="C238" s="225"/>
      <c r="D238" s="229" t="s">
        <v>599</v>
      </c>
      <c r="E238" s="225"/>
      <c r="F238" s="268">
        <f>'PRECIO DEL METRAJE'!E241</f>
        <v>0</v>
      </c>
      <c r="G238" s="225" t="s">
        <v>608</v>
      </c>
      <c r="H238" s="272">
        <f>'PRECIO DEL METRAJE'!K241</f>
        <v>0</v>
      </c>
      <c r="I238" s="272">
        <f>H238*F238</f>
        <v>0</v>
      </c>
      <c r="J238" s="270"/>
      <c r="K238" s="280"/>
      <c r="M238" s="62" t="str">
        <f t="shared" si="14"/>
        <v>OCULTAR</v>
      </c>
      <c r="N238" s="62"/>
      <c r="O238" s="62"/>
      <c r="P238" s="62"/>
      <c r="Q238" s="62"/>
      <c r="R238" s="62"/>
      <c r="S238" s="62"/>
    </row>
    <row r="239" spans="2:19" ht="18" customHeight="1" x14ac:dyDescent="0.35">
      <c r="B239" s="230"/>
      <c r="C239" s="225"/>
      <c r="D239" s="229" t="s">
        <v>599</v>
      </c>
      <c r="E239" s="225"/>
      <c r="F239" s="268">
        <f>'PRECIO DEL METRAJE'!E242</f>
        <v>0</v>
      </c>
      <c r="G239" s="225" t="s">
        <v>608</v>
      </c>
      <c r="H239" s="272">
        <f>'PRECIO DEL METRAJE'!K242</f>
        <v>0</v>
      </c>
      <c r="I239" s="272">
        <f>H239*F239</f>
        <v>0</v>
      </c>
      <c r="J239" s="270"/>
      <c r="K239" s="280"/>
      <c r="M239" s="62" t="str">
        <f t="shared" si="10"/>
        <v>OCULTAR</v>
      </c>
      <c r="N239" s="62"/>
      <c r="O239" s="62"/>
      <c r="P239" s="62"/>
      <c r="Q239" s="62"/>
      <c r="R239" s="62"/>
      <c r="S239" s="62"/>
    </row>
    <row r="240" spans="2:19" ht="18" customHeight="1" x14ac:dyDescent="0.35">
      <c r="B240" s="230"/>
      <c r="C240" s="225"/>
      <c r="D240" s="229"/>
      <c r="E240" s="225"/>
      <c r="F240" s="225"/>
      <c r="G240" s="225"/>
      <c r="H240" s="270"/>
      <c r="I240" s="272"/>
      <c r="J240" s="270"/>
      <c r="K240" s="280"/>
      <c r="M240" s="62" t="str">
        <f t="shared" si="10"/>
        <v>OCULTAR</v>
      </c>
      <c r="N240" s="62"/>
      <c r="O240" s="62"/>
      <c r="P240" s="62"/>
      <c r="Q240" s="62"/>
      <c r="R240" s="62"/>
      <c r="S240" s="62"/>
    </row>
    <row r="241" spans="1:30" s="58" customFormat="1" ht="23.25" customHeight="1" thickBot="1" x14ac:dyDescent="0.4">
      <c r="A241" s="55"/>
      <c r="B241" s="255"/>
      <c r="C241" s="263"/>
      <c r="D241" s="283"/>
      <c r="E241" s="263"/>
      <c r="F241" s="296">
        <v>1</v>
      </c>
      <c r="G241" s="263"/>
      <c r="H241" s="284"/>
      <c r="I241" s="297"/>
      <c r="J241" s="298" t="s">
        <v>749</v>
      </c>
      <c r="K241" s="299">
        <f>SUM(K5:K240)</f>
        <v>1473.96</v>
      </c>
      <c r="M241" s="62" t="str">
        <f>IF(K241&gt;0.1,"MOSTRAR","OCULTAR")</f>
        <v>MOSTRAR</v>
      </c>
      <c r="N241" s="62"/>
      <c r="O241" s="62"/>
      <c r="P241" s="62"/>
      <c r="Q241" s="62"/>
      <c r="R241" s="62"/>
      <c r="S241" s="62"/>
      <c r="T241" s="62"/>
      <c r="U241" s="62"/>
      <c r="V241" s="55"/>
      <c r="W241" s="55"/>
      <c r="X241" s="55"/>
      <c r="Y241" s="55"/>
      <c r="Z241" s="55"/>
      <c r="AA241" s="55"/>
      <c r="AB241" s="55"/>
      <c r="AC241" s="55"/>
      <c r="AD241" s="55"/>
    </row>
    <row r="242" spans="1:30" s="58" customFormat="1" ht="18" customHeight="1" thickTop="1" x14ac:dyDescent="0.35">
      <c r="A242" s="55"/>
      <c r="B242" s="246"/>
      <c r="C242" s="246"/>
      <c r="D242" s="246"/>
      <c r="E242" s="246"/>
      <c r="F242" s="256">
        <v>1</v>
      </c>
      <c r="G242" s="247"/>
      <c r="H242" s="246"/>
      <c r="I242" s="246"/>
      <c r="J242" s="246"/>
      <c r="K242" s="246"/>
      <c r="M242" s="62" t="str">
        <f t="shared" si="10"/>
        <v>MOSTRAR</v>
      </c>
      <c r="N242" s="62"/>
      <c r="O242" s="62"/>
      <c r="P242" s="62"/>
      <c r="Q242" s="62"/>
      <c r="R242" s="62"/>
      <c r="S242" s="62"/>
      <c r="T242" s="62"/>
      <c r="U242" s="62"/>
      <c r="V242" s="55"/>
      <c r="W242" s="55"/>
      <c r="X242" s="55"/>
      <c r="Y242" s="55"/>
      <c r="Z242" s="55"/>
      <c r="AA242" s="55"/>
      <c r="AB242" s="55"/>
      <c r="AC242" s="55"/>
      <c r="AD242" s="55"/>
    </row>
    <row r="243" spans="1:30" s="58" customFormat="1" ht="18" customHeight="1" x14ac:dyDescent="0.35">
      <c r="A243" s="55"/>
      <c r="B243" s="55"/>
      <c r="C243" s="55"/>
      <c r="D243" s="55"/>
      <c r="E243" s="55"/>
      <c r="F243" s="55"/>
      <c r="G243" s="62"/>
      <c r="N243" s="59"/>
      <c r="S243" s="55"/>
      <c r="T243" s="62"/>
      <c r="U243" s="62"/>
      <c r="V243" s="55"/>
      <c r="W243" s="55"/>
      <c r="X243" s="55"/>
      <c r="Y243" s="55"/>
      <c r="Z243" s="55"/>
      <c r="AA243" s="55"/>
      <c r="AB243" s="55"/>
      <c r="AC243" s="55"/>
      <c r="AD243" s="55"/>
    </row>
    <row r="244" spans="1:30" s="58" customFormat="1" ht="18" customHeight="1" x14ac:dyDescent="0.35">
      <c r="A244" s="55"/>
      <c r="B244" s="55"/>
      <c r="C244" s="55"/>
      <c r="D244" s="55"/>
      <c r="E244" s="635" t="s">
        <v>601</v>
      </c>
      <c r="F244" s="635"/>
      <c r="G244" s="635"/>
      <c r="H244" s="635"/>
      <c r="I244" s="58">
        <f>SUBTOTAL(109,I5:I241)</f>
        <v>1749.9200000000003</v>
      </c>
      <c r="J244" s="58">
        <f>SUM(J6:J240)</f>
        <v>1473.96</v>
      </c>
      <c r="N244" s="59"/>
      <c r="S244" s="55"/>
      <c r="T244" s="62"/>
      <c r="U244" s="62"/>
      <c r="V244" s="55"/>
      <c r="W244" s="55"/>
      <c r="X244" s="55"/>
      <c r="Y244" s="55"/>
      <c r="Z244" s="55"/>
      <c r="AA244" s="55"/>
      <c r="AB244" s="55"/>
      <c r="AC244" s="55"/>
      <c r="AD244" s="55"/>
    </row>
    <row r="245" spans="1:30" s="58" customFormat="1" ht="18" customHeight="1" x14ac:dyDescent="0.35">
      <c r="A245" s="55"/>
      <c r="B245" s="55"/>
      <c r="C245" s="55"/>
      <c r="D245" s="55"/>
      <c r="E245" s="635" t="s">
        <v>602</v>
      </c>
      <c r="F245" s="635"/>
      <c r="G245" s="635"/>
      <c r="H245" s="635"/>
      <c r="I245" s="58">
        <f>SUM(I5:I241)</f>
        <v>1749.9200000000003</v>
      </c>
      <c r="N245" s="59"/>
      <c r="S245" s="55"/>
      <c r="T245" s="62"/>
      <c r="U245" s="62"/>
      <c r="V245" s="55"/>
      <c r="W245" s="55"/>
      <c r="X245" s="55"/>
      <c r="Y245" s="55"/>
      <c r="Z245" s="55"/>
      <c r="AA245" s="55"/>
      <c r="AB245" s="55"/>
      <c r="AC245" s="55"/>
      <c r="AD245" s="55"/>
    </row>
    <row r="246" spans="1:30" s="58" customFormat="1" ht="18" customHeight="1" x14ac:dyDescent="0.35">
      <c r="A246" s="55"/>
      <c r="B246" s="55"/>
      <c r="C246" s="55"/>
      <c r="D246" s="55"/>
      <c r="E246" s="635" t="s">
        <v>603</v>
      </c>
      <c r="F246" s="635"/>
      <c r="G246" s="635"/>
      <c r="H246" s="635"/>
      <c r="I246" s="58">
        <f>'PRECIO DEL METRAJE'!M250</f>
        <v>1473.9600000000003</v>
      </c>
      <c r="N246" s="59"/>
      <c r="S246" s="55"/>
      <c r="T246" s="62"/>
      <c r="U246" s="62"/>
      <c r="V246" s="55"/>
      <c r="W246" s="55"/>
      <c r="X246" s="55"/>
      <c r="Y246" s="55"/>
      <c r="Z246" s="55"/>
      <c r="AA246" s="55"/>
      <c r="AB246" s="55"/>
      <c r="AC246" s="55"/>
      <c r="AD246" s="55"/>
    </row>
    <row r="247" spans="1:30" s="58" customFormat="1" ht="18" customHeight="1" x14ac:dyDescent="0.35">
      <c r="A247" s="55"/>
      <c r="B247" s="55"/>
      <c r="C247" s="55"/>
      <c r="D247" s="55"/>
      <c r="E247" s="55"/>
      <c r="F247" s="55"/>
      <c r="G247" s="62"/>
      <c r="N247" s="59"/>
      <c r="S247" s="55"/>
      <c r="T247" s="62"/>
      <c r="U247" s="62"/>
      <c r="V247" s="55"/>
      <c r="W247" s="55"/>
      <c r="X247" s="55"/>
      <c r="Y247" s="55"/>
      <c r="Z247" s="55"/>
      <c r="AA247" s="55"/>
      <c r="AB247" s="55"/>
      <c r="AC247" s="55"/>
      <c r="AD247" s="55"/>
    </row>
    <row r="248" spans="1:30" s="58" customFormat="1" ht="18" customHeight="1" x14ac:dyDescent="0.35">
      <c r="A248" s="55"/>
      <c r="B248" s="55"/>
      <c r="C248" s="55"/>
      <c r="D248" s="55"/>
      <c r="E248" s="55"/>
      <c r="F248" s="55"/>
      <c r="G248" s="62"/>
      <c r="N248" s="59"/>
      <c r="S248" s="55"/>
      <c r="T248" s="62"/>
      <c r="U248" s="62"/>
      <c r="V248" s="55"/>
      <c r="W248" s="55"/>
      <c r="X248" s="55"/>
      <c r="Y248" s="55"/>
      <c r="Z248" s="55"/>
      <c r="AA248" s="55"/>
      <c r="AB248" s="55"/>
      <c r="AC248" s="55"/>
      <c r="AD248" s="55"/>
    </row>
    <row r="249" spans="1:30" s="58" customFormat="1" ht="18" customHeight="1" x14ac:dyDescent="0.35">
      <c r="A249" s="55"/>
      <c r="B249" s="55"/>
      <c r="C249" s="55"/>
      <c r="D249" s="55"/>
      <c r="E249" s="55"/>
      <c r="F249" s="55"/>
      <c r="G249" s="62"/>
      <c r="N249" s="59"/>
      <c r="S249" s="55"/>
      <c r="T249" s="62"/>
      <c r="U249" s="62"/>
      <c r="V249" s="55"/>
      <c r="W249" s="55"/>
      <c r="X249" s="55"/>
      <c r="Y249" s="55"/>
      <c r="Z249" s="55"/>
      <c r="AA249" s="55"/>
      <c r="AB249" s="55"/>
      <c r="AC249" s="55"/>
      <c r="AD249" s="55"/>
    </row>
    <row r="250" spans="1:30" s="58" customFormat="1" ht="18" customHeight="1" x14ac:dyDescent="0.35">
      <c r="A250" s="55"/>
      <c r="B250" s="55"/>
      <c r="C250" s="55"/>
      <c r="D250" s="55"/>
      <c r="E250" s="55"/>
      <c r="F250" s="55"/>
      <c r="G250" s="62"/>
      <c r="N250" s="59"/>
      <c r="S250" s="55"/>
      <c r="T250" s="62"/>
      <c r="U250" s="62"/>
      <c r="V250" s="55"/>
      <c r="W250" s="55"/>
      <c r="X250" s="55"/>
      <c r="Y250" s="55"/>
      <c r="Z250" s="55"/>
      <c r="AA250" s="55"/>
      <c r="AB250" s="55"/>
      <c r="AC250" s="55"/>
      <c r="AD250" s="55"/>
    </row>
    <row r="251" spans="1:30" s="58" customFormat="1" ht="18" customHeight="1" x14ac:dyDescent="0.35">
      <c r="A251" s="55"/>
      <c r="B251" s="55"/>
      <c r="C251" s="55"/>
      <c r="D251" s="55"/>
      <c r="E251" s="55"/>
      <c r="F251" s="55"/>
      <c r="G251" s="62"/>
      <c r="N251" s="59"/>
      <c r="S251" s="55"/>
      <c r="T251" s="62"/>
      <c r="U251" s="62"/>
      <c r="V251" s="55"/>
      <c r="W251" s="55"/>
      <c r="X251" s="55"/>
      <c r="Y251" s="55"/>
      <c r="Z251" s="55"/>
      <c r="AA251" s="55"/>
      <c r="AB251" s="55"/>
      <c r="AC251" s="55"/>
      <c r="AD251" s="55"/>
    </row>
    <row r="252" spans="1:30" s="58" customFormat="1" ht="18" customHeight="1" x14ac:dyDescent="0.35">
      <c r="A252" s="55"/>
      <c r="B252" s="55"/>
      <c r="C252" s="55"/>
      <c r="D252" s="55"/>
      <c r="E252" s="55"/>
      <c r="F252" s="55"/>
      <c r="G252" s="62"/>
      <c r="N252" s="59"/>
      <c r="S252" s="55"/>
      <c r="T252" s="62"/>
      <c r="U252" s="62"/>
      <c r="V252" s="55"/>
      <c r="W252" s="55"/>
      <c r="X252" s="55"/>
      <c r="Y252" s="55"/>
      <c r="Z252" s="55"/>
      <c r="AA252" s="55"/>
      <c r="AB252" s="55"/>
      <c r="AC252" s="55"/>
      <c r="AD252" s="55"/>
    </row>
    <row r="253" spans="1:30" s="58" customFormat="1" ht="18" customHeight="1" x14ac:dyDescent="0.35">
      <c r="A253" s="55"/>
      <c r="B253" s="55"/>
      <c r="C253" s="55"/>
      <c r="D253" s="55"/>
      <c r="E253" s="55"/>
      <c r="F253" s="55"/>
      <c r="G253" s="62"/>
      <c r="N253" s="59"/>
      <c r="S253" s="55"/>
      <c r="T253" s="62"/>
      <c r="U253" s="62"/>
      <c r="V253" s="55"/>
      <c r="W253" s="55"/>
      <c r="X253" s="55"/>
      <c r="Y253" s="55"/>
      <c r="Z253" s="55"/>
      <c r="AA253" s="55"/>
      <c r="AB253" s="55"/>
      <c r="AC253" s="55"/>
      <c r="AD253" s="55"/>
    </row>
    <row r="254" spans="1:30" s="58" customFormat="1" ht="18" customHeight="1" x14ac:dyDescent="0.35">
      <c r="A254" s="55"/>
      <c r="B254" s="55"/>
      <c r="C254" s="55"/>
      <c r="D254" s="55"/>
      <c r="E254" s="55"/>
      <c r="F254" s="55"/>
      <c r="G254" s="62"/>
      <c r="N254" s="59"/>
      <c r="S254" s="55"/>
      <c r="T254" s="62"/>
      <c r="U254" s="62"/>
      <c r="V254" s="55"/>
      <c r="W254" s="55"/>
      <c r="X254" s="55"/>
      <c r="Y254" s="55"/>
      <c r="Z254" s="55"/>
      <c r="AA254" s="55"/>
      <c r="AB254" s="55"/>
      <c r="AC254" s="55"/>
      <c r="AD254" s="55"/>
    </row>
  </sheetData>
  <autoFilter ref="B3:M242" xr:uid="{AB38D4DB-40D7-4223-B256-7AF580F2057E}"/>
  <mergeCells count="8">
    <mergeCell ref="E245:H245"/>
    <mergeCell ref="E246:H246"/>
    <mergeCell ref="B1:J1"/>
    <mergeCell ref="B2:D2"/>
    <mergeCell ref="F2:G2"/>
    <mergeCell ref="C122:C123"/>
    <mergeCell ref="C179:C183"/>
    <mergeCell ref="E244:H244"/>
  </mergeCells>
  <phoneticPr fontId="20" type="noConversion"/>
  <conditionalFormatting sqref="M4:M20">
    <cfRule type="cellIs" dxfId="65" priority="20" operator="equal">
      <formula>"OCULTAR"</formula>
    </cfRule>
    <cfRule type="cellIs" dxfId="64" priority="21" operator="equal">
      <formula>"MOSTRAR"</formula>
    </cfRule>
    <cfRule type="expression" dxfId="63" priority="22">
      <formula>$F$8&gt;1</formula>
    </cfRule>
    <cfRule type="expression" priority="23">
      <formula>$I$8&gt;0.5</formula>
    </cfRule>
    <cfRule type="expression" dxfId="62" priority="24">
      <formula>$F$8&gt;1</formula>
    </cfRule>
    <cfRule type="cellIs" dxfId="61" priority="25" operator="greaterThan">
      <formula>"0.5"</formula>
    </cfRule>
    <cfRule type="expression" dxfId="60" priority="26">
      <formula>$F$8&gt;0.5</formula>
    </cfRule>
  </conditionalFormatting>
  <conditionalFormatting sqref="M7:M20">
    <cfRule type="expression" dxfId="59" priority="27">
      <formula>#REF!&gt;1</formula>
    </cfRule>
  </conditionalFormatting>
  <conditionalFormatting sqref="M13:M18">
    <cfRule type="expression" dxfId="58" priority="19">
      <formula>F24&gt;1</formula>
    </cfRule>
  </conditionalFormatting>
  <conditionalFormatting sqref="M16">
    <cfRule type="containsText" dxfId="57" priority="17" operator="containsText" text="OCULTAR">
      <formula>NOT(ISERROR(SEARCH("OCULTAR",M16)))</formula>
    </cfRule>
    <cfRule type="containsText" dxfId="56" priority="18" operator="containsText" text="MOSTRAR">
      <formula>NOT(ISERROR(SEARCH("MOSTRAR",M16)))</formula>
    </cfRule>
  </conditionalFormatting>
  <conditionalFormatting sqref="M20">
    <cfRule type="expression" dxfId="55" priority="28">
      <formula>F30&gt;1</formula>
    </cfRule>
  </conditionalFormatting>
  <conditionalFormatting sqref="M21">
    <cfRule type="containsText" dxfId="54" priority="39" operator="containsText" text="OCULTAR">
      <formula>NOT(ISERROR(SEARCH("OCULTAR",M21)))</formula>
    </cfRule>
    <cfRule type="containsText" dxfId="53" priority="40" operator="containsText" text="MOSTRAR">
      <formula>NOT(ISERROR(SEARCH("MOSTRAR",M21)))</formula>
    </cfRule>
  </conditionalFormatting>
  <conditionalFormatting sqref="M22:M28">
    <cfRule type="expression" dxfId="52" priority="97">
      <formula>#REF!&gt;1</formula>
    </cfRule>
  </conditionalFormatting>
  <conditionalFormatting sqref="M22:M38">
    <cfRule type="expression" dxfId="51" priority="13">
      <formula>$F$8&gt;1</formula>
    </cfRule>
    <cfRule type="cellIs" dxfId="50" priority="14" operator="greaterThan">
      <formula>"0.5"</formula>
    </cfRule>
    <cfRule type="expression" dxfId="49" priority="15">
      <formula>$F$8&gt;0.5</formula>
    </cfRule>
  </conditionalFormatting>
  <conditionalFormatting sqref="M22:M242">
    <cfRule type="cellIs" dxfId="48" priority="9" operator="equal">
      <formula>"OCULTAR"</formula>
    </cfRule>
    <cfRule type="cellIs" dxfId="47" priority="10" operator="equal">
      <formula>"MOSTRAR"</formula>
    </cfRule>
    <cfRule type="expression" dxfId="46" priority="11">
      <formula>$F$8&gt;1</formula>
    </cfRule>
    <cfRule type="expression" priority="12">
      <formula>$I$8&gt;0.5</formula>
    </cfRule>
  </conditionalFormatting>
  <conditionalFormatting sqref="M29:M36">
    <cfRule type="expression" dxfId="45" priority="1">
      <formula>#REF!&gt;1</formula>
    </cfRule>
  </conditionalFormatting>
  <conditionalFormatting sqref="M29:M38">
    <cfRule type="expression" dxfId="44" priority="16">
      <formula>F40&gt;1</formula>
    </cfRule>
  </conditionalFormatting>
  <conditionalFormatting sqref="M39:M47 M82:M120">
    <cfRule type="expression" dxfId="43" priority="162">
      <formula>F46&gt;1</formula>
    </cfRule>
  </conditionalFormatting>
  <conditionalFormatting sqref="M39:M120">
    <cfRule type="expression" dxfId="42" priority="119">
      <formula>$F$8&gt;1</formula>
    </cfRule>
    <cfRule type="cellIs" dxfId="41" priority="121" operator="greaterThan">
      <formula>"0.5"</formula>
    </cfRule>
    <cfRule type="expression" dxfId="40" priority="122">
      <formula>$F$8&gt;0.5</formula>
    </cfRule>
  </conditionalFormatting>
  <conditionalFormatting sqref="M40">
    <cfRule type="expression" dxfId="39" priority="163">
      <formula>F45&gt;1</formula>
    </cfRule>
  </conditionalFormatting>
  <conditionalFormatting sqref="M48:M55">
    <cfRule type="expression" dxfId="38" priority="253">
      <formula>F61&gt;1</formula>
    </cfRule>
    <cfRule type="expression" dxfId="37" priority="266">
      <formula>F59&gt;1</formula>
    </cfRule>
  </conditionalFormatting>
  <conditionalFormatting sqref="M56 M80:M81 M4:M6">
    <cfRule type="expression" dxfId="36" priority="171">
      <formula>F10&gt;1</formula>
    </cfRule>
    <cfRule type="expression" dxfId="35" priority="172">
      <formula>F8&gt;1</formula>
    </cfRule>
  </conditionalFormatting>
  <conditionalFormatting sqref="M57:M58">
    <cfRule type="expression" dxfId="34" priority="145">
      <formula>F62&gt;1</formula>
    </cfRule>
  </conditionalFormatting>
  <conditionalFormatting sqref="M57:M79">
    <cfRule type="expression" dxfId="33" priority="118">
      <formula>F64&gt;1</formula>
    </cfRule>
  </conditionalFormatting>
  <conditionalFormatting sqref="M78">
    <cfRule type="expression" dxfId="32" priority="127">
      <formula>F83&gt;1</formula>
    </cfRule>
  </conditionalFormatting>
  <conditionalFormatting sqref="M121:M242">
    <cfRule type="expression" dxfId="31" priority="102">
      <formula>$F$8&gt;1</formula>
    </cfRule>
    <cfRule type="cellIs" dxfId="30" priority="104" operator="greaterThan">
      <formula>"0.5"</formula>
    </cfRule>
    <cfRule type="expression" dxfId="29" priority="105">
      <formula>$F$8&gt;0.5</formula>
    </cfRule>
    <cfRule type="expression" dxfId="28" priority="106">
      <formula>F128&gt;1</formula>
    </cfRule>
  </conditionalFormatting>
  <pageMargins left="0.70866141732283472" right="0.70866141732283472" top="0.74803149606299213" bottom="0.74803149606299213" header="0.31496062992125984" footer="0.31496062992125984"/>
  <pageSetup paperSize="8" scale="90" orientation="landscape" r:id="rId1"/>
  <ignoredErrors>
    <ignoredError sqref="M239:M242 M39:M120 M146 M186:M235 M122:M143 M148:M183" formula="1"/>
  </ignoredError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5EFE5-F0AA-4AB1-9DDF-EF593B3D175D}">
  <dimension ref="A1:AD254"/>
  <sheetViews>
    <sheetView showGridLines="0" zoomScaleNormal="100" workbookViewId="0">
      <pane ySplit="4" topLeftCell="A5" activePane="bottomLeft" state="frozen"/>
      <selection pane="bottomLeft" activeCell="G9" sqref="G9"/>
    </sheetView>
  </sheetViews>
  <sheetFormatPr baseColWidth="10" defaultColWidth="11.36328125" defaultRowHeight="18" customHeight="1" x14ac:dyDescent="0.35"/>
  <cols>
    <col min="1" max="1" width="5.36328125" style="55" customWidth="1"/>
    <col min="2" max="2" width="5.36328125" style="62" customWidth="1"/>
    <col min="3" max="3" width="20.81640625" style="55" customWidth="1"/>
    <col min="4" max="4" width="89.36328125" style="55" customWidth="1"/>
    <col min="5" max="5" width="17" style="55" customWidth="1"/>
    <col min="6" max="6" width="13.81640625" style="55" customWidth="1"/>
    <col min="7" max="7" width="12.7265625" style="62" customWidth="1"/>
    <col min="8" max="8" width="14.7265625" style="58" customWidth="1"/>
    <col min="9" max="9" width="15.7265625" style="58" customWidth="1"/>
    <col min="10" max="10" width="20.36328125" style="58" customWidth="1"/>
    <col min="11" max="11" width="17.81640625" style="58" customWidth="1"/>
    <col min="12" max="12" width="4" style="58" customWidth="1"/>
    <col min="13" max="13" width="16.54296875" style="58" customWidth="1"/>
    <col min="14" max="14" width="12.7265625" style="59" customWidth="1"/>
    <col min="15" max="15" width="35" style="58" customWidth="1"/>
    <col min="16" max="16" width="4.36328125" style="58" customWidth="1"/>
    <col min="17" max="17" width="13.36328125" style="58" customWidth="1"/>
    <col min="18" max="18" width="16.1796875" style="58" customWidth="1"/>
    <col min="19" max="19" width="2.81640625" style="55" customWidth="1"/>
    <col min="20" max="20" width="4.54296875" style="62" bestFit="1" customWidth="1"/>
    <col min="21" max="21" width="13.81640625" style="62" customWidth="1"/>
    <col min="22" max="22" width="11.36328125" style="55"/>
    <col min="23" max="24" width="13.36328125" style="55" bestFit="1" customWidth="1"/>
    <col min="25" max="16384" width="11.36328125" style="55"/>
  </cols>
  <sheetData>
    <row r="1" spans="2:24" ht="18" customHeight="1" x14ac:dyDescent="0.35">
      <c r="B1" s="638"/>
      <c r="C1" s="638"/>
      <c r="D1" s="638"/>
      <c r="E1" s="638"/>
      <c r="F1" s="638"/>
      <c r="G1" s="638"/>
      <c r="H1" s="638"/>
      <c r="I1" s="638"/>
      <c r="J1" s="638"/>
      <c r="K1" s="62"/>
    </row>
    <row r="2" spans="2:24" ht="55.5" customHeight="1" x14ac:dyDescent="0.35">
      <c r="B2" s="636" t="s">
        <v>499</v>
      </c>
      <c r="C2" s="637"/>
      <c r="D2" s="637"/>
      <c r="E2" s="226"/>
      <c r="F2" s="639"/>
      <c r="G2" s="639"/>
      <c r="H2" s="225"/>
      <c r="I2" s="225"/>
      <c r="J2" s="225"/>
      <c r="K2" s="225"/>
      <c r="L2" s="186"/>
      <c r="M2" s="234" t="s">
        <v>500</v>
      </c>
      <c r="N2" s="235"/>
      <c r="O2" s="186"/>
      <c r="P2" s="62"/>
      <c r="Q2" s="62"/>
      <c r="R2" s="62"/>
      <c r="S2" s="62"/>
    </row>
    <row r="3" spans="2:24" ht="18" customHeight="1" thickBot="1" x14ac:dyDescent="0.4">
      <c r="M3" s="62"/>
      <c r="N3" s="62"/>
      <c r="O3" s="62"/>
      <c r="P3" s="62"/>
      <c r="Q3" s="62"/>
      <c r="R3" s="62"/>
      <c r="S3" s="62"/>
    </row>
    <row r="4" spans="2:24" ht="32.65" customHeight="1" thickTop="1" thickBot="1" x14ac:dyDescent="0.4">
      <c r="B4" s="232"/>
      <c r="C4" s="468" t="s">
        <v>604</v>
      </c>
      <c r="D4" s="469" t="s">
        <v>605</v>
      </c>
      <c r="E4" s="470" t="s">
        <v>1028</v>
      </c>
      <c r="F4" s="470" t="s">
        <v>1029</v>
      </c>
      <c r="G4" s="471" t="s">
        <v>1030</v>
      </c>
      <c r="H4" s="472" t="s">
        <v>1031</v>
      </c>
      <c r="I4" s="472" t="s">
        <v>1032</v>
      </c>
      <c r="J4" s="472" t="s">
        <v>1033</v>
      </c>
      <c r="K4" s="473" t="s">
        <v>1034</v>
      </c>
      <c r="L4" s="57"/>
      <c r="M4" s="62" t="str">
        <f t="shared" ref="M4:M21" si="0">IF(F4&gt;0.1,"MOSTRAR","OCULTAR")</f>
        <v>MOSTRAR</v>
      </c>
      <c r="N4" s="62"/>
      <c r="O4" s="62"/>
      <c r="P4" s="62"/>
      <c r="Q4" s="62"/>
      <c r="R4" s="62"/>
      <c r="S4" s="62"/>
    </row>
    <row r="5" spans="2:24" ht="18" customHeight="1" thickTop="1" x14ac:dyDescent="0.35">
      <c r="B5" s="233" t="s">
        <v>506</v>
      </c>
      <c r="C5" s="302"/>
      <c r="D5" s="56"/>
      <c r="E5" s="56"/>
      <c r="F5" s="264">
        <v>1</v>
      </c>
      <c r="G5" s="257"/>
      <c r="H5" s="184"/>
      <c r="I5" s="182"/>
      <c r="J5" s="57"/>
      <c r="K5" s="245"/>
      <c r="L5" s="57"/>
      <c r="M5" s="62" t="str">
        <f>IF(K5&gt;0.1,"MOSTRAR","OCULTAR")</f>
        <v>OCULTAR</v>
      </c>
      <c r="N5" s="62"/>
      <c r="O5" s="62"/>
      <c r="P5" s="62"/>
      <c r="Q5" s="62"/>
      <c r="R5" s="62"/>
      <c r="S5" s="62"/>
    </row>
    <row r="6" spans="2:24" ht="18" customHeight="1" x14ac:dyDescent="0.35">
      <c r="B6" s="250">
        <f>IF(K6&gt;0,1,0)</f>
        <v>1</v>
      </c>
      <c r="C6" s="252"/>
      <c r="D6" s="251" t="s">
        <v>1035</v>
      </c>
      <c r="E6" s="251"/>
      <c r="F6" s="266">
        <f>IF(K6&gt;1,1,0)</f>
        <v>1</v>
      </c>
      <c r="G6" s="252"/>
      <c r="H6" s="252"/>
      <c r="I6" s="252"/>
      <c r="J6" s="252"/>
      <c r="K6" s="253">
        <f>J7+J22+J39+J13+J29</f>
        <v>1198</v>
      </c>
      <c r="L6" s="63"/>
      <c r="M6" s="62" t="str">
        <f>IF(F6&gt;0.1,"MOSTRAR","OCULTAR")</f>
        <v>MOSTRAR</v>
      </c>
      <c r="N6" s="62"/>
      <c r="O6" s="62"/>
      <c r="P6" s="62"/>
      <c r="Q6" s="62"/>
      <c r="R6" s="62"/>
      <c r="S6" s="62"/>
    </row>
    <row r="7" spans="2:24" ht="18" customHeight="1" x14ac:dyDescent="0.35">
      <c r="B7" s="230">
        <f>IF(J7&gt;0,B6+0.1,B6)</f>
        <v>1.1000000000000001</v>
      </c>
      <c r="C7" s="258"/>
      <c r="D7" s="278" t="s">
        <v>1036</v>
      </c>
      <c r="E7" s="278"/>
      <c r="F7" s="269">
        <f>IF(J7&gt;1,1,0)</f>
        <v>1</v>
      </c>
      <c r="G7" s="258"/>
      <c r="H7" s="279"/>
      <c r="I7" s="274"/>
      <c r="J7" s="274">
        <f>SUM(I8:I12)</f>
        <v>1198</v>
      </c>
      <c r="K7" s="280"/>
      <c r="M7" s="62" t="str">
        <f>IF(J7&gt;0.1,"MOSTRAR","OCULTAR")</f>
        <v>MOSTRAR</v>
      </c>
      <c r="N7" s="62"/>
      <c r="O7" s="62"/>
      <c r="P7" s="62"/>
      <c r="Q7" s="62"/>
      <c r="R7" s="62"/>
      <c r="S7" s="62"/>
    </row>
    <row r="8" spans="2:24" ht="96.75" customHeight="1" x14ac:dyDescent="0.35">
      <c r="B8" s="231"/>
      <c r="C8" s="423"/>
      <c r="D8" s="244" t="s">
        <v>1043</v>
      </c>
      <c r="E8" s="228" t="s">
        <v>1037</v>
      </c>
      <c r="F8" s="268">
        <f>'PRECIO DEL METRAJE'!E9</f>
        <v>0</v>
      </c>
      <c r="G8" s="225" t="s">
        <v>509</v>
      </c>
      <c r="H8" s="272">
        <f>'PRECIO DEL METRAJE'!K9</f>
        <v>81.01700000000001</v>
      </c>
      <c r="I8" s="272">
        <f>'PRECIO DEL METRAJE'!M9</f>
        <v>0</v>
      </c>
      <c r="J8" s="270"/>
      <c r="K8" s="280"/>
      <c r="M8" s="225" t="str">
        <f t="shared" si="0"/>
        <v>OCULTAR</v>
      </c>
      <c r="N8" s="62"/>
      <c r="O8" s="62"/>
      <c r="P8" s="62"/>
      <c r="Q8" s="62"/>
      <c r="R8" s="62"/>
      <c r="S8" s="62"/>
      <c r="X8" s="60"/>
    </row>
    <row r="9" spans="2:24" ht="96.75" customHeight="1" x14ac:dyDescent="0.35">
      <c r="B9" s="231"/>
      <c r="C9" s="423"/>
      <c r="D9" s="244" t="s">
        <v>1039</v>
      </c>
      <c r="E9" s="228" t="s">
        <v>1038</v>
      </c>
      <c r="F9" s="268">
        <f>'PRECIO DEL METRAJE'!E10</f>
        <v>0</v>
      </c>
      <c r="G9" s="225" t="s">
        <v>509</v>
      </c>
      <c r="H9" s="272">
        <f>'PRECIO DEL METRAJE'!K10</f>
        <v>102.89999999999999</v>
      </c>
      <c r="I9" s="272">
        <f>'PRECIO DEL METRAJE'!M10</f>
        <v>0</v>
      </c>
      <c r="J9" s="270"/>
      <c r="K9" s="280"/>
      <c r="M9" s="225" t="str">
        <f t="shared" si="0"/>
        <v>OCULTAR</v>
      </c>
      <c r="N9" s="62"/>
      <c r="O9" s="62"/>
      <c r="P9" s="62"/>
      <c r="Q9" s="62"/>
      <c r="R9" s="62" t="s">
        <v>95</v>
      </c>
      <c r="S9" s="62"/>
      <c r="X9" s="60"/>
    </row>
    <row r="10" spans="2:24" ht="96.75" customHeight="1" x14ac:dyDescent="0.35">
      <c r="B10" s="231"/>
      <c r="C10" s="423"/>
      <c r="D10" s="244" t="s">
        <v>1040</v>
      </c>
      <c r="E10" s="228" t="s">
        <v>1223</v>
      </c>
      <c r="F10" s="268">
        <f>'PRECIO DEL METRAJE'!E11</f>
        <v>20</v>
      </c>
      <c r="G10" s="225" t="s">
        <v>509</v>
      </c>
      <c r="H10" s="272">
        <f>'PRECIO DEL METRAJE'!K11</f>
        <v>59.9</v>
      </c>
      <c r="I10" s="272">
        <f>'PRECIO DEL METRAJE'!M11</f>
        <v>1198</v>
      </c>
      <c r="J10" s="270"/>
      <c r="K10" s="280"/>
      <c r="M10" s="225" t="str">
        <f t="shared" si="0"/>
        <v>MOSTRAR</v>
      </c>
      <c r="N10" s="62"/>
      <c r="O10" s="62"/>
      <c r="P10" s="62"/>
      <c r="Q10" s="62"/>
      <c r="R10" s="62"/>
      <c r="S10" s="62"/>
      <c r="X10" s="60"/>
    </row>
    <row r="11" spans="2:24" ht="96.75" customHeight="1" x14ac:dyDescent="0.35">
      <c r="B11" s="231"/>
      <c r="C11" s="423"/>
      <c r="D11" s="244" t="s">
        <v>1041</v>
      </c>
      <c r="E11" s="228" t="s">
        <v>1223</v>
      </c>
      <c r="F11" s="268">
        <f>'PRECIO DEL METRAJE'!E12</f>
        <v>0</v>
      </c>
      <c r="G11" s="225" t="s">
        <v>509</v>
      </c>
      <c r="H11" s="272">
        <f>'PRECIO DEL METRAJE'!K12</f>
        <v>63.2</v>
      </c>
      <c r="I11" s="272">
        <f>'PRECIO DEL METRAJE'!M12</f>
        <v>0</v>
      </c>
      <c r="J11" s="270"/>
      <c r="K11" s="280"/>
      <c r="M11" s="225" t="str">
        <f t="shared" si="0"/>
        <v>OCULTAR</v>
      </c>
      <c r="N11" s="62"/>
      <c r="O11" s="62"/>
      <c r="P11" s="62"/>
      <c r="Q11" s="62"/>
      <c r="R11" s="62"/>
      <c r="S11" s="62"/>
      <c r="X11" s="60"/>
    </row>
    <row r="12" spans="2:24" ht="96.75" customHeight="1" x14ac:dyDescent="0.35">
      <c r="B12" s="231"/>
      <c r="C12" s="423"/>
      <c r="D12" s="244" t="s">
        <v>1042</v>
      </c>
      <c r="E12" s="228" t="s">
        <v>1223</v>
      </c>
      <c r="F12" s="268">
        <f>'PRECIO DEL METRAJE'!E13</f>
        <v>0</v>
      </c>
      <c r="G12" s="225" t="s">
        <v>509</v>
      </c>
      <c r="H12" s="272">
        <f>'PRECIO DEL METRAJE'!K13</f>
        <v>69</v>
      </c>
      <c r="I12" s="272">
        <f>'PRECIO DEL METRAJE'!M13</f>
        <v>0</v>
      </c>
      <c r="J12" s="270"/>
      <c r="K12" s="280"/>
      <c r="M12" s="225" t="str">
        <f t="shared" si="0"/>
        <v>OCULTAR</v>
      </c>
      <c r="N12" s="62"/>
      <c r="O12" s="62"/>
      <c r="P12" s="62"/>
      <c r="Q12" s="62"/>
      <c r="R12" s="62"/>
      <c r="S12" s="62"/>
      <c r="X12" s="60"/>
    </row>
    <row r="13" spans="2:24" ht="14.5" x14ac:dyDescent="0.35">
      <c r="B13" s="230"/>
      <c r="C13" s="286"/>
      <c r="D13" s="262" t="s">
        <v>1044</v>
      </c>
      <c r="E13" s="286"/>
      <c r="F13" s="543">
        <f>IF(J13&gt;1,1,0)</f>
        <v>0</v>
      </c>
      <c r="G13" s="259"/>
      <c r="H13" s="259"/>
      <c r="I13" s="259"/>
      <c r="J13" s="277">
        <f>SUM(I14:I21)</f>
        <v>0</v>
      </c>
      <c r="K13" s="280"/>
      <c r="M13" s="62" t="str">
        <f>IF(J13&gt;0.1,"MOSTRAR","OCULTAR")</f>
        <v>OCULTAR</v>
      </c>
      <c r="N13" s="62"/>
      <c r="O13" s="545"/>
      <c r="P13" s="62"/>
      <c r="Q13" s="62"/>
      <c r="R13" s="62"/>
      <c r="S13" s="62"/>
      <c r="X13" s="60"/>
    </row>
    <row r="14" spans="2:24" ht="81" customHeight="1" x14ac:dyDescent="0.35">
      <c r="B14" s="231"/>
      <c r="C14" s="423"/>
      <c r="D14" s="229" t="s">
        <v>1045</v>
      </c>
      <c r="E14" s="228"/>
      <c r="F14" s="268">
        <f>'PRECIO DEL METRAJE'!E24</f>
        <v>0</v>
      </c>
      <c r="G14" s="225" t="s">
        <v>1046</v>
      </c>
      <c r="H14" s="272">
        <f>'PRECIO DEL METRAJE'!K24</f>
        <v>49.300000000000004</v>
      </c>
      <c r="I14" s="272">
        <f>'PRECIO DEL METRAJE'!M24</f>
        <v>0</v>
      </c>
      <c r="J14" s="270"/>
      <c r="K14" s="280"/>
      <c r="M14" s="225" t="str">
        <f t="shared" si="0"/>
        <v>OCULTAR</v>
      </c>
      <c r="N14" s="62"/>
      <c r="O14" s="62"/>
      <c r="P14" s="62"/>
      <c r="Q14" s="62"/>
      <c r="R14" s="62"/>
      <c r="S14" s="62"/>
      <c r="X14" s="60"/>
    </row>
    <row r="15" spans="2:24" ht="18" customHeight="1" x14ac:dyDescent="0.35">
      <c r="B15" s="231"/>
      <c r="C15" s="225"/>
      <c r="D15" s="229" t="s">
        <v>1047</v>
      </c>
      <c r="E15" s="228"/>
      <c r="F15" s="268">
        <f>'PRECIO DEL METRAJE'!E25</f>
        <v>0</v>
      </c>
      <c r="G15" s="225" t="s">
        <v>1046</v>
      </c>
      <c r="H15" s="272">
        <f>'PRECIO DEL METRAJE'!K25</f>
        <v>7.6999999999999993</v>
      </c>
      <c r="I15" s="272">
        <f>'PRECIO DEL METRAJE'!M25</f>
        <v>0</v>
      </c>
      <c r="J15" s="270"/>
      <c r="K15" s="280"/>
      <c r="M15" s="225" t="str">
        <f t="shared" si="0"/>
        <v>OCULTAR</v>
      </c>
      <c r="N15" s="62"/>
      <c r="O15" s="62"/>
      <c r="P15" s="62"/>
      <c r="Q15" s="62"/>
      <c r="R15" s="62"/>
      <c r="S15" s="62"/>
      <c r="X15" s="60"/>
    </row>
    <row r="16" spans="2:24" ht="18.75" customHeight="1" x14ac:dyDescent="0.35">
      <c r="B16" s="231"/>
      <c r="C16" s="225"/>
      <c r="D16" s="229" t="s">
        <v>1048</v>
      </c>
      <c r="E16" s="228"/>
      <c r="F16" s="268">
        <f>'PRECIO DEL METRAJE'!E26</f>
        <v>0</v>
      </c>
      <c r="G16" s="225" t="s">
        <v>1046</v>
      </c>
      <c r="H16" s="272">
        <f>'PRECIO DEL METRAJE'!K26</f>
        <v>1.3</v>
      </c>
      <c r="I16" s="272">
        <f>'PRECIO DEL METRAJE'!M26</f>
        <v>0</v>
      </c>
      <c r="J16" s="270"/>
      <c r="K16" s="280"/>
      <c r="M16" s="225" t="str">
        <f t="shared" si="0"/>
        <v>OCULTAR</v>
      </c>
      <c r="N16" s="62"/>
      <c r="O16" s="62"/>
      <c r="P16" s="62"/>
      <c r="Q16" s="62"/>
      <c r="R16" s="62"/>
      <c r="S16" s="62"/>
      <c r="X16" s="60"/>
    </row>
    <row r="17" spans="2:26" ht="74.25" customHeight="1" x14ac:dyDescent="0.35">
      <c r="B17" s="231"/>
      <c r="C17" s="225"/>
      <c r="D17" s="229" t="s">
        <v>1053</v>
      </c>
      <c r="E17" s="228"/>
      <c r="F17" s="268">
        <f>'PRECIO DEL METRAJE'!E27</f>
        <v>0</v>
      </c>
      <c r="G17" s="225" t="s">
        <v>509</v>
      </c>
      <c r="H17" s="272">
        <f>'PRECIO DEL METRAJE'!K27</f>
        <v>50</v>
      </c>
      <c r="I17" s="272">
        <f>'PRECIO DEL METRAJE'!M27</f>
        <v>0</v>
      </c>
      <c r="J17" s="270"/>
      <c r="K17" s="280"/>
      <c r="M17" s="225" t="str">
        <f t="shared" si="0"/>
        <v>OCULTAR</v>
      </c>
      <c r="N17" s="62"/>
      <c r="O17" s="62"/>
      <c r="P17" s="62"/>
      <c r="Q17" s="62"/>
      <c r="R17" s="62"/>
      <c r="S17" s="62"/>
      <c r="X17" s="60"/>
    </row>
    <row r="18" spans="2:26" ht="75" customHeight="1" x14ac:dyDescent="0.35">
      <c r="B18" s="231"/>
      <c r="C18" s="225"/>
      <c r="D18" s="229" t="s">
        <v>1054</v>
      </c>
      <c r="E18" s="228"/>
      <c r="F18" s="268">
        <f>'PRECIO DEL METRAJE'!E28</f>
        <v>0</v>
      </c>
      <c r="G18" s="225" t="s">
        <v>509</v>
      </c>
      <c r="H18" s="272">
        <f>'PRECIO DEL METRAJE'!K28</f>
        <v>63.4</v>
      </c>
      <c r="I18" s="272">
        <f>'PRECIO DEL METRAJE'!M28</f>
        <v>0</v>
      </c>
      <c r="J18" s="270"/>
      <c r="K18" s="280"/>
      <c r="M18" s="225" t="str">
        <f t="shared" si="0"/>
        <v>OCULTAR</v>
      </c>
      <c r="N18" s="62"/>
      <c r="O18" s="62"/>
      <c r="P18" s="62"/>
      <c r="Q18" s="62"/>
      <c r="R18" s="62"/>
      <c r="S18" s="62"/>
      <c r="X18" s="60"/>
    </row>
    <row r="19" spans="2:26" ht="75.75" customHeight="1" x14ac:dyDescent="0.35">
      <c r="B19" s="231"/>
      <c r="D19" s="229" t="s">
        <v>1055</v>
      </c>
      <c r="E19" s="228"/>
      <c r="F19" s="268">
        <f>'PRECIO DEL METRAJE'!E29</f>
        <v>0</v>
      </c>
      <c r="G19" s="225" t="s">
        <v>509</v>
      </c>
      <c r="H19" s="272">
        <f>'PRECIO DEL METRAJE'!K29</f>
        <v>56.7</v>
      </c>
      <c r="I19" s="272">
        <f>'PRECIO DEL METRAJE'!M29</f>
        <v>0</v>
      </c>
      <c r="J19" s="270"/>
      <c r="K19" s="280"/>
      <c r="M19" s="225" t="str">
        <f t="shared" si="0"/>
        <v>OCULTAR</v>
      </c>
      <c r="N19" s="62"/>
      <c r="O19" s="62"/>
      <c r="P19" s="62"/>
      <c r="Q19" s="62"/>
      <c r="R19" s="62"/>
      <c r="S19" s="62"/>
      <c r="X19" s="60"/>
    </row>
    <row r="20" spans="2:26" ht="74.25" customHeight="1" x14ac:dyDescent="0.35">
      <c r="B20" s="231"/>
      <c r="D20" s="229" t="s">
        <v>1056</v>
      </c>
      <c r="E20" s="228"/>
      <c r="F20" s="546">
        <f>'PRECIO DEL METRAJE'!E30</f>
        <v>0</v>
      </c>
      <c r="G20" s="225" t="s">
        <v>509</v>
      </c>
      <c r="H20" s="272">
        <f>'PRECIO DEL METRAJE'!K30</f>
        <v>73.399999999999991</v>
      </c>
      <c r="I20" s="272">
        <f>'PRECIO DEL METRAJE'!M30</f>
        <v>0</v>
      </c>
      <c r="J20" s="270"/>
      <c r="K20" s="280"/>
      <c r="M20" s="225" t="str">
        <f t="shared" si="0"/>
        <v>OCULTAR</v>
      </c>
      <c r="N20" s="62"/>
      <c r="O20" s="62"/>
      <c r="P20" s="62"/>
      <c r="Q20" s="62"/>
      <c r="R20" s="62"/>
      <c r="S20" s="62"/>
      <c r="X20" s="60"/>
    </row>
    <row r="21" spans="2:26" ht="15.75" customHeight="1" x14ac:dyDescent="0.35">
      <c r="B21" s="231"/>
      <c r="C21" s="423"/>
      <c r="D21" s="244"/>
      <c r="E21" s="228"/>
      <c r="F21" s="268"/>
      <c r="G21" s="225"/>
      <c r="H21" s="272"/>
      <c r="I21" s="272"/>
      <c r="J21" s="270"/>
      <c r="K21" s="280"/>
      <c r="M21" s="225" t="str">
        <f t="shared" si="0"/>
        <v>OCULTAR</v>
      </c>
      <c r="N21" s="62"/>
      <c r="O21" s="62"/>
      <c r="P21" s="62"/>
      <c r="Q21" s="62"/>
      <c r="R21" s="62"/>
      <c r="S21" s="62"/>
      <c r="X21" s="60"/>
    </row>
    <row r="22" spans="2:26" ht="12.75" customHeight="1" x14ac:dyDescent="0.35">
      <c r="B22" s="230">
        <f>IF(J22&gt;0,B7+0.1,B7)</f>
        <v>1.1000000000000001</v>
      </c>
      <c r="C22" s="258"/>
      <c r="D22" s="278" t="s">
        <v>1057</v>
      </c>
      <c r="E22" s="278"/>
      <c r="F22" s="269">
        <f>IF(J22&gt;1,1,0)</f>
        <v>0</v>
      </c>
      <c r="G22" s="258"/>
      <c r="H22" s="279"/>
      <c r="I22" s="274"/>
      <c r="J22" s="274">
        <f>SUM(I23:I27)</f>
        <v>0</v>
      </c>
      <c r="K22" s="280"/>
      <c r="M22" s="62" t="str">
        <f>IF(J22&gt;0.1,"MOSTRAR","OCULTAR")</f>
        <v>OCULTAR</v>
      </c>
      <c r="P22" s="62"/>
      <c r="Q22" s="62"/>
      <c r="R22" s="62"/>
      <c r="S22" s="62"/>
      <c r="X22" s="60"/>
    </row>
    <row r="23" spans="2:26" ht="73.5" customHeight="1" x14ac:dyDescent="0.35">
      <c r="B23" s="230"/>
      <c r="C23" s="423"/>
      <c r="D23" s="235" t="s">
        <v>1058</v>
      </c>
      <c r="E23" s="225"/>
      <c r="F23" s="268">
        <f>'PRECIO DEL METRAJE'!E17</f>
        <v>0</v>
      </c>
      <c r="G23" s="225" t="s">
        <v>509</v>
      </c>
      <c r="H23" s="272">
        <f>'PRECIO DEL METRAJE'!K17</f>
        <v>58.5</v>
      </c>
      <c r="I23" s="272">
        <f>'PRECIO DEL METRAJE'!M17</f>
        <v>0</v>
      </c>
      <c r="J23" s="270"/>
      <c r="K23" s="280"/>
      <c r="M23" s="225" t="str">
        <f t="shared" ref="M23:M28" si="1">IF(F23&gt;0.1,"MOSTRAR","OCULTAR")</f>
        <v>OCULTAR</v>
      </c>
      <c r="N23" s="62"/>
      <c r="O23" s="62"/>
      <c r="P23" s="62"/>
      <c r="Q23" s="62"/>
      <c r="R23" s="62"/>
      <c r="S23" s="62"/>
    </row>
    <row r="24" spans="2:26" ht="82.5" customHeight="1" x14ac:dyDescent="0.35">
      <c r="B24" s="230"/>
      <c r="C24" s="423"/>
      <c r="D24" s="235" t="s">
        <v>1059</v>
      </c>
      <c r="E24" s="225"/>
      <c r="F24" s="268">
        <f>'PRECIO DEL METRAJE'!E18</f>
        <v>0</v>
      </c>
      <c r="G24" s="225" t="s">
        <v>936</v>
      </c>
      <c r="H24" s="272">
        <f>'PRECIO DEL METRAJE'!K18</f>
        <v>62.4</v>
      </c>
      <c r="I24" s="272">
        <f>'PRECIO DEL METRAJE'!M18</f>
        <v>0</v>
      </c>
      <c r="J24" s="270"/>
      <c r="K24" s="280"/>
      <c r="M24" s="225" t="str">
        <f t="shared" si="1"/>
        <v>OCULTAR</v>
      </c>
      <c r="N24" s="62"/>
      <c r="O24" s="62"/>
      <c r="P24" s="62"/>
      <c r="Q24" s="62"/>
      <c r="R24" s="62"/>
      <c r="S24" s="62"/>
      <c r="Y24" s="58"/>
      <c r="Z24" s="62"/>
    </row>
    <row r="25" spans="2:26" ht="91.5" customHeight="1" x14ac:dyDescent="0.35">
      <c r="B25" s="230"/>
      <c r="C25" s="423"/>
      <c r="D25" s="235" t="s">
        <v>1060</v>
      </c>
      <c r="E25" s="225"/>
      <c r="F25" s="268">
        <f>'PRECIO DEL METRAJE'!E19</f>
        <v>0</v>
      </c>
      <c r="G25" s="225" t="s">
        <v>509</v>
      </c>
      <c r="H25" s="272">
        <f>'PRECIO DEL METRAJE'!K19</f>
        <v>40.9</v>
      </c>
      <c r="I25" s="272">
        <f>'PRECIO DEL METRAJE'!M19</f>
        <v>0</v>
      </c>
      <c r="J25" s="270"/>
      <c r="K25" s="280"/>
      <c r="M25" s="225" t="str">
        <f t="shared" si="1"/>
        <v>OCULTAR</v>
      </c>
      <c r="N25" s="62"/>
      <c r="O25" s="62"/>
      <c r="P25" s="62"/>
      <c r="Q25" s="62"/>
      <c r="R25" s="62"/>
      <c r="S25" s="62"/>
      <c r="Y25" s="58"/>
      <c r="Z25" s="62"/>
    </row>
    <row r="26" spans="2:26" ht="87" customHeight="1" x14ac:dyDescent="0.35">
      <c r="B26" s="230"/>
      <c r="C26" s="423"/>
      <c r="D26" s="235" t="s">
        <v>1061</v>
      </c>
      <c r="E26" s="225"/>
      <c r="F26" s="268">
        <f>'PRECIO DEL METRAJE'!E20</f>
        <v>0</v>
      </c>
      <c r="G26" s="225" t="s">
        <v>509</v>
      </c>
      <c r="H26" s="272">
        <f>'PRECIO DEL METRAJE'!K20</f>
        <v>46</v>
      </c>
      <c r="I26" s="272">
        <f>'PRECIO DEL METRAJE'!M20</f>
        <v>0</v>
      </c>
      <c r="J26" s="270"/>
      <c r="K26" s="280"/>
      <c r="M26" s="225" t="str">
        <f t="shared" si="1"/>
        <v>OCULTAR</v>
      </c>
      <c r="N26" s="62"/>
      <c r="O26" s="62"/>
      <c r="P26" s="62"/>
      <c r="Q26" s="62"/>
      <c r="R26" s="62"/>
      <c r="S26" s="62"/>
    </row>
    <row r="27" spans="2:26" ht="58" x14ac:dyDescent="0.35">
      <c r="B27" s="230"/>
      <c r="C27" s="423"/>
      <c r="D27" s="235" t="s">
        <v>1062</v>
      </c>
      <c r="E27" s="225"/>
      <c r="F27" s="268">
        <f>'PRECIO DEL METRAJE'!E21</f>
        <v>0</v>
      </c>
      <c r="G27" s="225" t="s">
        <v>509</v>
      </c>
      <c r="H27" s="272">
        <f>'PRECIO DEL METRAJE'!K21</f>
        <v>50.4</v>
      </c>
      <c r="I27" s="272">
        <f>'PRECIO DEL METRAJE'!M21</f>
        <v>0</v>
      </c>
      <c r="J27" s="270"/>
      <c r="K27" s="280"/>
      <c r="M27" s="225" t="str">
        <f t="shared" si="1"/>
        <v>OCULTAR</v>
      </c>
      <c r="N27" s="62"/>
      <c r="O27" s="62"/>
      <c r="P27" s="62"/>
      <c r="Q27" s="62"/>
      <c r="R27" s="62"/>
      <c r="S27" s="62"/>
    </row>
    <row r="28" spans="2:26" ht="19.5" customHeight="1" x14ac:dyDescent="0.35">
      <c r="B28" s="230"/>
      <c r="C28" s="423"/>
      <c r="D28" s="229"/>
      <c r="E28" s="225"/>
      <c r="F28" s="225"/>
      <c r="G28" s="225"/>
      <c r="H28" s="272"/>
      <c r="I28" s="272"/>
      <c r="J28" s="270"/>
      <c r="K28" s="280"/>
      <c r="M28" s="62" t="str">
        <f t="shared" si="1"/>
        <v>OCULTAR</v>
      </c>
      <c r="N28" s="62"/>
      <c r="O28" s="62"/>
      <c r="P28" s="62"/>
      <c r="Q28" s="62"/>
      <c r="R28" s="62"/>
      <c r="S28" s="62"/>
    </row>
    <row r="29" spans="2:26" ht="14.5" x14ac:dyDescent="0.35">
      <c r="B29" s="230"/>
      <c r="C29" s="286"/>
      <c r="D29" s="262" t="s">
        <v>1063</v>
      </c>
      <c r="E29" s="286"/>
      <c r="F29" s="543">
        <f>IF(J29&gt;1,1,0)</f>
        <v>0</v>
      </c>
      <c r="G29" s="259"/>
      <c r="H29" s="259"/>
      <c r="I29" s="259"/>
      <c r="J29" s="277">
        <f>SUM(I30:I36)</f>
        <v>0</v>
      </c>
      <c r="K29" s="280"/>
      <c r="M29" s="62" t="str">
        <f>IF(J29&gt;0.1,"MOSTRAR","OCULTAR")</f>
        <v>OCULTAR</v>
      </c>
      <c r="N29" s="62"/>
      <c r="O29" s="545"/>
      <c r="P29" s="62"/>
      <c r="Q29" s="62"/>
      <c r="R29" s="62"/>
      <c r="S29" s="62"/>
    </row>
    <row r="30" spans="2:26" ht="78.75" customHeight="1" x14ac:dyDescent="0.35">
      <c r="B30" s="230"/>
      <c r="C30" s="423"/>
      <c r="D30" s="229" t="s">
        <v>1045</v>
      </c>
      <c r="E30" s="225"/>
      <c r="F30" s="268">
        <f>'PRECIO DEL METRAJE'!E34</f>
        <v>0</v>
      </c>
      <c r="G30" s="225" t="s">
        <v>1046</v>
      </c>
      <c r="H30" s="272">
        <f>'PRECIO DEL METRAJE'!K34</f>
        <v>49.300000000000004</v>
      </c>
      <c r="I30" s="272">
        <f>'PRECIO DEL METRAJE'!M34</f>
        <v>0</v>
      </c>
      <c r="J30" s="270"/>
      <c r="K30" s="280"/>
      <c r="M30" s="225" t="str">
        <f t="shared" ref="M30:M38" si="2">IF(F30&gt;0.1,"MOSTRAR","OCULTAR")</f>
        <v>OCULTAR</v>
      </c>
      <c r="N30" s="62"/>
      <c r="O30" s="62"/>
      <c r="P30" s="62"/>
      <c r="Q30" s="62"/>
      <c r="R30" s="62"/>
      <c r="S30" s="62"/>
    </row>
    <row r="31" spans="2:26" ht="14.5" x14ac:dyDescent="0.35">
      <c r="B31" s="230"/>
      <c r="C31" s="225"/>
      <c r="D31" s="420" t="s">
        <v>1047</v>
      </c>
      <c r="E31" s="225"/>
      <c r="F31" s="268">
        <f>'PRECIO DEL METRAJE'!E35</f>
        <v>0</v>
      </c>
      <c r="G31" s="225" t="s">
        <v>1046</v>
      </c>
      <c r="H31" s="272">
        <f>'PRECIO DEL METRAJE'!K35</f>
        <v>7.6999999999999993</v>
      </c>
      <c r="I31" s="272">
        <f>'PRECIO DEL METRAJE'!M35</f>
        <v>0</v>
      </c>
      <c r="J31" s="270"/>
      <c r="K31" s="280"/>
      <c r="M31" s="225" t="str">
        <f t="shared" si="2"/>
        <v>OCULTAR</v>
      </c>
      <c r="N31" s="62"/>
      <c r="O31" s="62"/>
      <c r="P31" s="62"/>
      <c r="Q31" s="62"/>
      <c r="R31" s="62"/>
      <c r="S31" s="62"/>
    </row>
    <row r="32" spans="2:26" ht="14.5" x14ac:dyDescent="0.35">
      <c r="B32" s="230"/>
      <c r="C32" s="225"/>
      <c r="D32" s="229" t="s">
        <v>1064</v>
      </c>
      <c r="E32" s="225"/>
      <c r="F32" s="268">
        <f>'PRECIO DEL METRAJE'!E36</f>
        <v>0</v>
      </c>
      <c r="G32" s="225" t="s">
        <v>1046</v>
      </c>
      <c r="H32" s="272">
        <f>'PRECIO DEL METRAJE'!K36</f>
        <v>1.3</v>
      </c>
      <c r="I32" s="272">
        <f>'PRECIO DEL METRAJE'!M36</f>
        <v>0</v>
      </c>
      <c r="J32" s="270"/>
      <c r="K32" s="280"/>
      <c r="M32" s="225" t="str">
        <f t="shared" si="2"/>
        <v>OCULTAR</v>
      </c>
      <c r="N32" s="62"/>
      <c r="O32" s="62"/>
      <c r="P32" s="62"/>
      <c r="Q32" s="62"/>
      <c r="R32" s="62"/>
      <c r="S32" s="62"/>
    </row>
    <row r="33" spans="2:19" ht="84.75" customHeight="1" x14ac:dyDescent="0.35">
      <c r="B33" s="230"/>
      <c r="C33" s="225"/>
      <c r="D33" s="229" t="s">
        <v>1049</v>
      </c>
      <c r="E33" s="225"/>
      <c r="F33" s="268">
        <f>'PRECIO DEL METRAJE'!E37</f>
        <v>0</v>
      </c>
      <c r="G33" s="225" t="s">
        <v>509</v>
      </c>
      <c r="H33" s="272">
        <f>'PRECIO DEL METRAJE'!K37</f>
        <v>50</v>
      </c>
      <c r="I33" s="272">
        <f>'PRECIO DEL METRAJE'!M37</f>
        <v>0</v>
      </c>
      <c r="J33" s="270"/>
      <c r="K33" s="280"/>
      <c r="M33" s="225" t="str">
        <f t="shared" si="2"/>
        <v>OCULTAR</v>
      </c>
      <c r="N33" s="62"/>
      <c r="O33" s="62"/>
      <c r="P33" s="62"/>
      <c r="Q33" s="62"/>
      <c r="R33" s="62"/>
      <c r="S33" s="62"/>
    </row>
    <row r="34" spans="2:19" ht="83.25" customHeight="1" x14ac:dyDescent="0.35">
      <c r="B34" s="230"/>
      <c r="C34" s="225"/>
      <c r="D34" s="229" t="s">
        <v>1050</v>
      </c>
      <c r="E34" s="225"/>
      <c r="F34" s="268">
        <f>'PRECIO DEL METRAJE'!E38</f>
        <v>0</v>
      </c>
      <c r="G34" s="225" t="s">
        <v>509</v>
      </c>
      <c r="H34" s="272">
        <f>'PRECIO DEL METRAJE'!K38</f>
        <v>63.4</v>
      </c>
      <c r="I34" s="272">
        <f>'PRECIO DEL METRAJE'!M38</f>
        <v>0</v>
      </c>
      <c r="J34" s="270"/>
      <c r="K34" s="280"/>
      <c r="M34" s="225" t="str">
        <f t="shared" si="2"/>
        <v>OCULTAR</v>
      </c>
      <c r="N34" s="62"/>
      <c r="O34" s="62"/>
      <c r="P34" s="62"/>
      <c r="Q34" s="62"/>
      <c r="R34" s="62"/>
      <c r="S34" s="62"/>
    </row>
    <row r="35" spans="2:19" ht="81.75" customHeight="1" x14ac:dyDescent="0.35">
      <c r="B35" s="230"/>
      <c r="D35" s="229" t="s">
        <v>1051</v>
      </c>
      <c r="F35" s="268">
        <f>'PRECIO DEL METRAJE'!E39</f>
        <v>0</v>
      </c>
      <c r="G35" s="225" t="s">
        <v>509</v>
      </c>
      <c r="H35" s="272">
        <f>'PRECIO DEL METRAJE'!K39</f>
        <v>56.7</v>
      </c>
      <c r="I35" s="272">
        <f>'PRECIO DEL METRAJE'!M39</f>
        <v>0</v>
      </c>
      <c r="K35" s="280"/>
      <c r="M35" s="225" t="str">
        <f t="shared" si="2"/>
        <v>OCULTAR</v>
      </c>
      <c r="N35" s="62"/>
      <c r="O35" s="62"/>
      <c r="P35" s="62"/>
      <c r="Q35" s="62"/>
      <c r="R35" s="62"/>
      <c r="S35" s="62"/>
    </row>
    <row r="36" spans="2:19" ht="90" customHeight="1" x14ac:dyDescent="0.35">
      <c r="B36" s="230"/>
      <c r="D36" s="229" t="s">
        <v>1052</v>
      </c>
      <c r="F36" s="268">
        <f>'PRECIO DEL METRAJE'!E40</f>
        <v>0</v>
      </c>
      <c r="G36" s="225" t="s">
        <v>509</v>
      </c>
      <c r="H36" s="272">
        <f>'PRECIO DEL METRAJE'!K40</f>
        <v>73.399999999999991</v>
      </c>
      <c r="I36" s="272">
        <f>'PRECIO DEL METRAJE'!M40</f>
        <v>0</v>
      </c>
      <c r="K36" s="280"/>
      <c r="M36" s="225" t="str">
        <f t="shared" si="2"/>
        <v>OCULTAR</v>
      </c>
      <c r="N36" s="62"/>
      <c r="O36" s="62"/>
      <c r="P36" s="62"/>
      <c r="Q36" s="62"/>
      <c r="R36" s="62"/>
      <c r="S36" s="62"/>
    </row>
    <row r="37" spans="2:19" ht="18" customHeight="1" x14ac:dyDescent="0.35">
      <c r="B37" s="230"/>
      <c r="K37" s="280"/>
      <c r="M37" s="225" t="str">
        <f t="shared" si="2"/>
        <v>OCULTAR</v>
      </c>
      <c r="N37" s="62"/>
      <c r="O37" s="62"/>
      <c r="P37" s="62"/>
      <c r="Q37" s="62"/>
      <c r="R37" s="62"/>
      <c r="S37" s="62"/>
    </row>
    <row r="38" spans="2:19" ht="18" customHeight="1" x14ac:dyDescent="0.35">
      <c r="B38" s="230"/>
      <c r="K38" s="280"/>
      <c r="M38" s="225" t="str">
        <f t="shared" si="2"/>
        <v>OCULTAR</v>
      </c>
      <c r="N38" s="62"/>
      <c r="O38" s="62"/>
      <c r="P38" s="62"/>
      <c r="Q38" s="62"/>
      <c r="R38" s="62"/>
      <c r="S38" s="62"/>
    </row>
    <row r="39" spans="2:19" ht="18" customHeight="1" x14ac:dyDescent="0.35">
      <c r="B39" s="230">
        <f>IF(J39&gt;0,B22+0.1,B22)</f>
        <v>1.1000000000000001</v>
      </c>
      <c r="C39" s="265"/>
      <c r="D39" s="278" t="s">
        <v>1065</v>
      </c>
      <c r="E39" s="258"/>
      <c r="F39" s="285">
        <f>IF(J39&gt;1,1,0)</f>
        <v>0</v>
      </c>
      <c r="G39" s="258"/>
      <c r="H39" s="274"/>
      <c r="I39" s="274"/>
      <c r="J39" s="274">
        <f>IF(N40=0,SUM(I40:I46),I40)</f>
        <v>0</v>
      </c>
      <c r="K39" s="280"/>
      <c r="M39" s="62" t="str">
        <f>IF(J39&gt;0.1,"MOSTRAR","OCULTAR")</f>
        <v>OCULTAR</v>
      </c>
      <c r="N39" s="62"/>
      <c r="O39" s="62"/>
      <c r="P39" s="62"/>
      <c r="Q39" s="62"/>
      <c r="R39" s="62"/>
      <c r="S39" s="62"/>
    </row>
    <row r="40" spans="2:19" ht="91.25" customHeight="1" x14ac:dyDescent="0.35">
      <c r="B40" s="231"/>
      <c r="C40" s="225"/>
      <c r="D40" s="236" t="str">
        <f>CONCATENATE("Panneau vitré de type Full Glass, composé de verre feuilleté 5+5 avec des profils en aluminium hygiéniques. Nombre total d'unités :",METRAJE!J72," Unités")</f>
        <v>Panneau vitré de type Full Glass, composé de verre feuilleté 5+5 avec des profils en aluminium hygiéniques. Nombre total d'unités :0 Unités</v>
      </c>
      <c r="E40" s="225"/>
      <c r="F40" s="268">
        <f>'PRECIO DEL METRAJE'!E44</f>
        <v>0</v>
      </c>
      <c r="G40" s="225" t="s">
        <v>217</v>
      </c>
      <c r="H40" s="272">
        <f>H41+H43+H44+H45</f>
        <v>82.6</v>
      </c>
      <c r="I40" s="272">
        <f>I41+I43+I44+I45</f>
        <v>0</v>
      </c>
      <c r="J40" s="270"/>
      <c r="K40" s="280"/>
      <c r="M40" s="237" t="str">
        <f>IF(OR(OB40&gt;0.1,N40=1),"MOSTRAR","OCULTAR")</f>
        <v>MOSTRAR</v>
      </c>
      <c r="N40" s="238">
        <v>1</v>
      </c>
      <c r="O40" s="239" t="s">
        <v>515</v>
      </c>
      <c r="P40" s="62"/>
      <c r="Q40" s="62"/>
      <c r="R40" s="62"/>
      <c r="S40" s="62"/>
    </row>
    <row r="41" spans="2:19" ht="80.25" customHeight="1" x14ac:dyDescent="0.35">
      <c r="B41" s="231"/>
      <c r="C41" s="225"/>
      <c r="D41" s="229" t="s">
        <v>1066</v>
      </c>
      <c r="E41" s="225"/>
      <c r="F41" s="268">
        <f>'PRECIO DEL METRAJE'!E44</f>
        <v>0</v>
      </c>
      <c r="G41" s="225" t="s">
        <v>509</v>
      </c>
      <c r="H41" s="272">
        <f>'PRECIO DEL METRAJE'!K44</f>
        <v>63.4</v>
      </c>
      <c r="I41" s="272">
        <f>'PRECIO DEL METRAJE'!M44</f>
        <v>0</v>
      </c>
      <c r="J41" s="270"/>
      <c r="K41" s="280"/>
      <c r="L41" s="224"/>
      <c r="M41" s="225" t="str">
        <f>IF(AND(F41&gt;0.1,$N$40=0),"MOSTRAR","OCULTAR")</f>
        <v>OCULTAR</v>
      </c>
      <c r="N41" s="62"/>
      <c r="O41" s="62"/>
      <c r="P41" s="62"/>
      <c r="Q41" s="62"/>
      <c r="R41" s="62"/>
      <c r="S41" s="62"/>
    </row>
    <row r="42" spans="2:19" ht="18" customHeight="1" x14ac:dyDescent="0.35">
      <c r="B42" s="231"/>
      <c r="C42" s="225"/>
      <c r="D42" s="281" t="s">
        <v>1067</v>
      </c>
      <c r="E42" s="288"/>
      <c r="F42" s="268">
        <f>'PRECIO DEL METRAJE'!E45</f>
        <v>0</v>
      </c>
      <c r="G42" s="225" t="s">
        <v>215</v>
      </c>
      <c r="H42" s="272">
        <f>'PRECIO DEL METRAJE'!K45</f>
        <v>3.1</v>
      </c>
      <c r="I42" s="272">
        <f>'PRECIO DEL METRAJE'!M45</f>
        <v>0</v>
      </c>
      <c r="J42" s="270"/>
      <c r="K42" s="280"/>
      <c r="M42" s="62" t="str">
        <f>IF(F42&gt;0.1,"MOSTRAR","OCULTAR")</f>
        <v>OCULTAR</v>
      </c>
      <c r="N42" s="62"/>
      <c r="O42" s="62"/>
      <c r="P42" s="62"/>
      <c r="Q42" s="62"/>
      <c r="R42" s="62"/>
      <c r="S42" s="62"/>
    </row>
    <row r="43" spans="2:19" ht="18" customHeight="1" x14ac:dyDescent="0.35">
      <c r="B43" s="231"/>
      <c r="C43" s="225"/>
      <c r="D43" s="281" t="s">
        <v>1068</v>
      </c>
      <c r="E43" s="288"/>
      <c r="F43" s="268">
        <f>'PRECIO DEL METRAJE'!E46</f>
        <v>0</v>
      </c>
      <c r="G43" s="225" t="s">
        <v>215</v>
      </c>
      <c r="H43" s="272">
        <f>'PRECIO DEL METRAJE'!K46</f>
        <v>14.4</v>
      </c>
      <c r="I43" s="272">
        <f>'PRECIO DEL METRAJE'!M46</f>
        <v>0</v>
      </c>
      <c r="J43" s="270"/>
      <c r="K43" s="280"/>
      <c r="M43" s="62" t="str">
        <f>IF(AND(F43&gt;0.1,$N$40=0),"MOSTRAR","OCULTAR")</f>
        <v>OCULTAR</v>
      </c>
      <c r="N43" s="62"/>
      <c r="O43" s="62"/>
      <c r="P43" s="62"/>
      <c r="Q43" s="62"/>
      <c r="R43" s="62"/>
      <c r="S43" s="62"/>
    </row>
    <row r="44" spans="2:19" ht="18" customHeight="1" x14ac:dyDescent="0.35">
      <c r="B44" s="231"/>
      <c r="C44" s="225"/>
      <c r="D44" s="281" t="s">
        <v>1069</v>
      </c>
      <c r="E44" s="288"/>
      <c r="F44" s="268">
        <f>'PRECIO DEL METRAJE'!E47</f>
        <v>0</v>
      </c>
      <c r="G44" s="225" t="s">
        <v>215</v>
      </c>
      <c r="H44" s="272">
        <f>'PRECIO DEL METRAJE'!K47</f>
        <v>2.3000000000000003</v>
      </c>
      <c r="I44" s="272">
        <f>'PRECIO DEL METRAJE'!M47</f>
        <v>0</v>
      </c>
      <c r="J44" s="270"/>
      <c r="K44" s="280"/>
      <c r="M44" s="62" t="str">
        <f>IF(AND(F44&gt;0.1,$N$40=0),"MOSTRAR","OCULTAR")</f>
        <v>OCULTAR</v>
      </c>
      <c r="N44" s="62"/>
      <c r="O44" s="62"/>
      <c r="P44" s="62"/>
      <c r="Q44" s="62"/>
      <c r="R44" s="62"/>
      <c r="S44" s="62"/>
    </row>
    <row r="45" spans="2:19" ht="18" customHeight="1" x14ac:dyDescent="0.35">
      <c r="B45" s="231"/>
      <c r="C45" s="225"/>
      <c r="D45" s="281" t="s">
        <v>1070</v>
      </c>
      <c r="E45" s="288"/>
      <c r="F45" s="268">
        <f>'PRECIO DEL METRAJE'!E48</f>
        <v>0</v>
      </c>
      <c r="G45" s="225" t="s">
        <v>215</v>
      </c>
      <c r="H45" s="272">
        <f>'PRECIO DEL METRAJE'!K48</f>
        <v>2.5</v>
      </c>
      <c r="I45" s="272">
        <f>'PRECIO DEL METRAJE'!M48</f>
        <v>0</v>
      </c>
      <c r="J45" s="270"/>
      <c r="K45" s="280"/>
      <c r="M45" s="62" t="str">
        <f>IF(AND(F45&gt;0.1,$N$40=0),"MOSTRAR","OCULTAR")</f>
        <v>OCULTAR</v>
      </c>
      <c r="N45" s="62"/>
      <c r="O45" s="62"/>
      <c r="P45" s="62"/>
      <c r="Q45" s="62"/>
      <c r="R45" s="62"/>
      <c r="S45" s="62"/>
    </row>
    <row r="46" spans="2:19" ht="110.5" customHeight="1" x14ac:dyDescent="0.35">
      <c r="B46" s="230"/>
      <c r="C46" s="225"/>
      <c r="D46" s="235" t="s">
        <v>1071</v>
      </c>
      <c r="E46" s="289"/>
      <c r="F46" s="268">
        <f>'PRECIO DEL METRAJE'!E49</f>
        <v>0</v>
      </c>
      <c r="G46" s="225" t="s">
        <v>215</v>
      </c>
      <c r="H46" s="272">
        <f>'PRECIO DEL METRAJE'!K49</f>
        <v>639.70000000000005</v>
      </c>
      <c r="I46" s="272">
        <f>'PRECIO DEL METRAJE'!M49</f>
        <v>0</v>
      </c>
      <c r="J46" s="270"/>
      <c r="K46" s="280"/>
      <c r="M46" s="62" t="str">
        <f>IF(F46&gt;0.1,"MOSTRAR","OCULTAR")</f>
        <v>OCULTAR</v>
      </c>
      <c r="N46" s="62"/>
      <c r="O46" s="62"/>
      <c r="P46" s="62"/>
      <c r="Q46" s="62"/>
      <c r="R46" s="62"/>
      <c r="S46" s="62"/>
    </row>
    <row r="47" spans="2:19" ht="19.5" customHeight="1" x14ac:dyDescent="0.35">
      <c r="B47" s="230"/>
      <c r="C47" s="225"/>
      <c r="D47" s="235"/>
      <c r="E47" s="289"/>
      <c r="F47" s="268"/>
      <c r="G47" s="225"/>
      <c r="H47" s="272"/>
      <c r="I47" s="272"/>
      <c r="J47" s="270"/>
      <c r="K47" s="280"/>
      <c r="M47" s="62" t="str">
        <f>IF(F47&gt;0.1,"MOSTRAR","OCULTAR")</f>
        <v>OCULTAR</v>
      </c>
      <c r="N47" s="62"/>
      <c r="O47" s="62"/>
      <c r="P47" s="62"/>
      <c r="Q47" s="62"/>
      <c r="R47" s="62"/>
      <c r="S47" s="62"/>
    </row>
    <row r="48" spans="2:19" ht="20" customHeight="1" x14ac:dyDescent="0.35">
      <c r="B48" s="250">
        <f>IF(K48&gt;0,B6+1,B6)</f>
        <v>1</v>
      </c>
      <c r="C48" s="252"/>
      <c r="D48" s="251" t="s">
        <v>1072</v>
      </c>
      <c r="E48" s="251"/>
      <c r="F48" s="266">
        <f>IF(K48&gt;1,1,0)</f>
        <v>0</v>
      </c>
      <c r="G48" s="252"/>
      <c r="H48" s="252"/>
      <c r="I48" s="252"/>
      <c r="J48" s="252"/>
      <c r="K48" s="253">
        <f>SUM(I49:I55)</f>
        <v>0</v>
      </c>
      <c r="M48" s="62" t="str">
        <f>IF(K48&gt;0.1,"MOSTRAR","OCULTAR")</f>
        <v>OCULTAR</v>
      </c>
      <c r="N48" s="62"/>
      <c r="O48" s="62"/>
      <c r="P48" s="62"/>
      <c r="Q48" s="62"/>
      <c r="R48" s="62"/>
      <c r="S48" s="62"/>
    </row>
    <row r="49" spans="2:30" ht="18" customHeight="1" x14ac:dyDescent="0.35">
      <c r="B49" s="230"/>
      <c r="C49" s="225"/>
      <c r="D49" s="229"/>
      <c r="E49" s="225"/>
      <c r="F49" s="493"/>
      <c r="G49" s="462"/>
      <c r="H49" s="494"/>
      <c r="I49" s="494"/>
      <c r="J49" s="495"/>
      <c r="K49" s="463"/>
      <c r="M49" s="62" t="str">
        <f>IF(F49&gt;0.1,"MOSTRAR","OCULTAR")</f>
        <v>OCULTAR</v>
      </c>
      <c r="N49" s="62"/>
      <c r="O49" s="62"/>
      <c r="P49" s="62"/>
      <c r="Q49" s="62"/>
      <c r="R49" s="62"/>
      <c r="S49" s="62"/>
    </row>
    <row r="50" spans="2:30" ht="18" customHeight="1" x14ac:dyDescent="0.35">
      <c r="B50" s="230"/>
      <c r="C50" s="225"/>
      <c r="D50" s="229" t="s">
        <v>1073</v>
      </c>
      <c r="E50" s="225"/>
      <c r="F50" s="268">
        <f>'PRECIO DEL METRAJE'!E54</f>
        <v>0</v>
      </c>
      <c r="G50" s="225" t="s">
        <v>509</v>
      </c>
      <c r="H50" s="494">
        <f>'PRECIO DEL METRAJE'!K54</f>
        <v>30.200000000000003</v>
      </c>
      <c r="I50" s="494">
        <f>'PRECIO DEL METRAJE'!M54</f>
        <v>0</v>
      </c>
      <c r="J50" s="495"/>
      <c r="K50" s="463"/>
      <c r="M50" s="62" t="str">
        <f t="shared" ref="M50:M55" si="3">IF(F50&gt;0.1,"MOSTRAR","OCULTAR")</f>
        <v>OCULTAR</v>
      </c>
      <c r="N50" s="62"/>
      <c r="O50" s="62"/>
      <c r="P50" s="62"/>
      <c r="Q50" s="62"/>
      <c r="R50" s="62"/>
      <c r="S50" s="62"/>
    </row>
    <row r="51" spans="2:30" ht="18" customHeight="1" x14ac:dyDescent="0.35">
      <c r="B51" s="230"/>
      <c r="C51" s="225"/>
      <c r="D51" s="229"/>
      <c r="E51" s="225"/>
      <c r="F51" s="268"/>
      <c r="G51" s="462"/>
      <c r="H51" s="494"/>
      <c r="I51" s="494"/>
      <c r="J51" s="495"/>
      <c r="K51" s="463"/>
      <c r="M51" s="62" t="str">
        <f t="shared" si="3"/>
        <v>OCULTAR</v>
      </c>
      <c r="N51" s="62"/>
      <c r="O51" s="62"/>
      <c r="P51" s="62"/>
      <c r="Q51" s="62"/>
      <c r="R51" s="62"/>
      <c r="S51" s="62"/>
    </row>
    <row r="52" spans="2:30" ht="33.75" customHeight="1" x14ac:dyDescent="0.35">
      <c r="B52" s="230"/>
      <c r="C52" s="225"/>
      <c r="D52" s="229"/>
      <c r="E52" s="225"/>
      <c r="F52" s="268"/>
      <c r="G52" s="462"/>
      <c r="H52" s="494"/>
      <c r="I52" s="494"/>
      <c r="J52" s="495"/>
      <c r="K52" s="463"/>
      <c r="M52" s="62" t="str">
        <f t="shared" si="3"/>
        <v>OCULTAR</v>
      </c>
      <c r="N52" s="62"/>
      <c r="O52" s="62"/>
      <c r="P52" s="62"/>
      <c r="Q52" s="62"/>
      <c r="R52" s="62"/>
      <c r="S52" s="62"/>
    </row>
    <row r="53" spans="2:30" ht="60" customHeight="1" x14ac:dyDescent="0.35">
      <c r="B53" s="230"/>
      <c r="C53" s="225"/>
      <c r="D53" s="229" t="s">
        <v>1074</v>
      </c>
      <c r="E53" s="225"/>
      <c r="F53" s="268">
        <f>'PRECIO DEL METRAJE'!E55</f>
        <v>0</v>
      </c>
      <c r="G53" s="225" t="s">
        <v>509</v>
      </c>
      <c r="H53" s="494">
        <f>'PRECIO DEL METRAJE'!K55</f>
        <v>0</v>
      </c>
      <c r="I53" s="494">
        <f>'PRECIO DEL METRAJE'!M55</f>
        <v>0</v>
      </c>
      <c r="J53" s="495"/>
      <c r="K53" s="463"/>
      <c r="M53" s="62" t="str">
        <f t="shared" si="3"/>
        <v>OCULTAR</v>
      </c>
      <c r="N53" s="62"/>
      <c r="O53" s="62"/>
      <c r="P53" s="62"/>
      <c r="Q53" s="62"/>
      <c r="R53" s="62"/>
      <c r="S53" s="62"/>
    </row>
    <row r="54" spans="2:30" ht="22.5" customHeight="1" x14ac:dyDescent="0.35">
      <c r="B54" s="230"/>
      <c r="C54" s="225"/>
      <c r="D54" s="229"/>
      <c r="E54" s="225"/>
      <c r="F54" s="493"/>
      <c r="G54" s="462"/>
      <c r="H54" s="494"/>
      <c r="I54" s="494"/>
      <c r="J54" s="495"/>
      <c r="K54" s="463"/>
      <c r="M54" s="62" t="str">
        <f t="shared" si="3"/>
        <v>OCULTAR</v>
      </c>
      <c r="N54" s="62"/>
      <c r="O54" s="62"/>
      <c r="P54" s="62"/>
      <c r="Q54" s="62"/>
      <c r="R54" s="62"/>
      <c r="S54" s="62"/>
    </row>
    <row r="55" spans="2:30" ht="8.25" customHeight="1" x14ac:dyDescent="0.35">
      <c r="B55" s="230"/>
      <c r="C55" s="225"/>
      <c r="D55" s="229"/>
      <c r="E55" s="225"/>
      <c r="F55" s="493"/>
      <c r="G55" s="462"/>
      <c r="H55" s="494"/>
      <c r="I55" s="494"/>
      <c r="J55" s="495"/>
      <c r="K55" s="463"/>
      <c r="M55" s="62" t="str">
        <f t="shared" si="3"/>
        <v>OCULTAR</v>
      </c>
      <c r="N55" s="62"/>
      <c r="O55" s="62"/>
      <c r="P55" s="62"/>
      <c r="Q55" s="62"/>
      <c r="R55" s="62"/>
      <c r="S55" s="62"/>
    </row>
    <row r="56" spans="2:30" ht="18" customHeight="1" x14ac:dyDescent="0.35">
      <c r="B56" s="250">
        <f>IF(K56&gt;0,B48+1,B48)</f>
        <v>2</v>
      </c>
      <c r="C56" s="252"/>
      <c r="D56" s="251" t="s">
        <v>1075</v>
      </c>
      <c r="E56" s="252"/>
      <c r="F56" s="267">
        <f>IF(K56&gt;1,1,0)</f>
        <v>1</v>
      </c>
      <c r="G56" s="254"/>
      <c r="H56" s="273"/>
      <c r="I56" s="273"/>
      <c r="J56" s="271"/>
      <c r="K56" s="253">
        <f>IF(N58=0,SUM(I59:I76),I58)+J77</f>
        <v>275.95999999999998</v>
      </c>
      <c r="L56" s="183"/>
      <c r="M56" s="62" t="str">
        <f>IF(K56&gt;0.1,"MOSTRAR","OCULTAR")</f>
        <v>MOSTRAR</v>
      </c>
      <c r="N56" s="300"/>
      <c r="O56" s="300"/>
      <c r="P56" s="62"/>
      <c r="Q56" s="62"/>
      <c r="R56" s="62"/>
      <c r="S56" s="62"/>
    </row>
    <row r="57" spans="2:30" ht="18" customHeight="1" x14ac:dyDescent="0.35">
      <c r="B57" s="230">
        <f>IF(J57&gt;0,B56+0.1,B56)</f>
        <v>2.1</v>
      </c>
      <c r="C57" s="258"/>
      <c r="D57" s="278" t="s">
        <v>1076</v>
      </c>
      <c r="E57" s="258"/>
      <c r="F57" s="285">
        <f>IF(J57&gt;1,1,0)</f>
        <v>1</v>
      </c>
      <c r="G57" s="258"/>
      <c r="H57" s="274"/>
      <c r="I57" s="274"/>
      <c r="J57" s="274">
        <f>SUM(I59:I76)</f>
        <v>232.95999999999998</v>
      </c>
      <c r="K57" s="280"/>
      <c r="M57" s="62" t="str">
        <f>IF(J57&gt;0.1,"MOSTRAR","OCULTAR")</f>
        <v>MOSTRAR</v>
      </c>
      <c r="N57" s="62"/>
      <c r="O57" s="62"/>
      <c r="P57" s="62"/>
      <c r="Q57" s="62"/>
      <c r="R57" s="62"/>
      <c r="S57" s="62"/>
    </row>
    <row r="58" spans="2:30" ht="92.25" customHeight="1" x14ac:dyDescent="0.35">
      <c r="B58" s="230"/>
      <c r="C58" s="225"/>
      <c r="D58" s="244" t="s">
        <v>1077</v>
      </c>
      <c r="E58" s="225"/>
      <c r="F58" s="268">
        <v>1</v>
      </c>
      <c r="G58" s="225" t="s">
        <v>1078</v>
      </c>
      <c r="H58" s="272"/>
      <c r="I58" s="272">
        <f>SUM(I59:I76)</f>
        <v>232.95999999999998</v>
      </c>
      <c r="J58" s="270"/>
      <c r="K58" s="280"/>
      <c r="L58" s="224"/>
      <c r="M58" s="237" t="str">
        <f>IF(OR(OB58&gt;0.1,N58=1),"MOSTRAR","OCULTAR")</f>
        <v>MOSTRAR</v>
      </c>
      <c r="N58" s="238">
        <v>1</v>
      </c>
      <c r="O58" s="240" t="s">
        <v>515</v>
      </c>
      <c r="P58" s="62"/>
      <c r="Q58" s="62"/>
      <c r="R58" s="62"/>
      <c r="S58" s="62"/>
      <c r="AD58" s="58"/>
    </row>
    <row r="59" spans="2:30" ht="54.75" customHeight="1" x14ac:dyDescent="0.35">
      <c r="B59" s="230"/>
      <c r="C59" s="225"/>
      <c r="D59" s="229" t="s">
        <v>1079</v>
      </c>
      <c r="E59" s="225"/>
      <c r="F59" s="268">
        <f>'PRECIO DEL METRAJE'!E60</f>
        <v>13</v>
      </c>
      <c r="G59" s="225" t="s">
        <v>215</v>
      </c>
      <c r="H59" s="272">
        <f>'PRECIO DEL METRAJE'!K60</f>
        <v>8.2999999999999989</v>
      </c>
      <c r="I59" s="272">
        <f>'PRECIO DEL METRAJE'!M60</f>
        <v>107.89999999999999</v>
      </c>
      <c r="J59" s="270"/>
      <c r="K59" s="280"/>
      <c r="M59" s="62" t="str">
        <f t="shared" ref="M59:M76" si="4">IF(AND(F59&gt;0.1,$N$58=0),"MOSTRAR","OCULTAR")</f>
        <v>OCULTAR</v>
      </c>
      <c r="N59" s="62"/>
      <c r="O59" s="62"/>
      <c r="P59" s="62"/>
      <c r="Q59" s="62"/>
      <c r="R59" s="62"/>
      <c r="S59" s="62"/>
      <c r="AD59" s="58"/>
    </row>
    <row r="60" spans="2:30" ht="18" customHeight="1" x14ac:dyDescent="0.35">
      <c r="B60" s="230"/>
      <c r="C60" s="225"/>
      <c r="D60" s="229" t="s">
        <v>1080</v>
      </c>
      <c r="E60" s="225"/>
      <c r="F60" s="268">
        <f>'PRECIO DEL METRAJE'!E61</f>
        <v>0</v>
      </c>
      <c r="G60" s="225" t="s">
        <v>215</v>
      </c>
      <c r="H60" s="272">
        <f>'PRECIO DEL METRAJE'!K61</f>
        <v>5</v>
      </c>
      <c r="I60" s="272">
        <f>'PRECIO DEL METRAJE'!M61</f>
        <v>0</v>
      </c>
      <c r="J60" s="270"/>
      <c r="K60" s="280"/>
      <c r="M60" s="62" t="str">
        <f t="shared" si="4"/>
        <v>OCULTAR</v>
      </c>
      <c r="N60" s="62"/>
      <c r="O60" s="62"/>
      <c r="P60" s="62"/>
      <c r="Q60" s="62"/>
      <c r="R60" s="62"/>
      <c r="S60" s="62"/>
    </row>
    <row r="61" spans="2:30" ht="18" customHeight="1" x14ac:dyDescent="0.35">
      <c r="B61" s="230"/>
      <c r="C61" s="225"/>
      <c r="D61" s="229" t="s">
        <v>1081</v>
      </c>
      <c r="E61" s="225"/>
      <c r="F61" s="268">
        <f>'PRECIO DEL METRAJE'!E62</f>
        <v>0</v>
      </c>
      <c r="G61" s="225" t="s">
        <v>215</v>
      </c>
      <c r="H61" s="272">
        <f>'PRECIO DEL METRAJE'!K62</f>
        <v>3.5</v>
      </c>
      <c r="I61" s="272">
        <f>'PRECIO DEL METRAJE'!M62</f>
        <v>0</v>
      </c>
      <c r="J61" s="270"/>
      <c r="K61" s="280"/>
      <c r="M61" s="62" t="str">
        <f t="shared" si="4"/>
        <v>OCULTAR</v>
      </c>
      <c r="N61" s="62"/>
      <c r="O61" s="62"/>
      <c r="P61" s="62"/>
      <c r="Q61" s="62"/>
      <c r="R61" s="62"/>
      <c r="S61" s="62"/>
    </row>
    <row r="62" spans="2:30" ht="77.25" customHeight="1" x14ac:dyDescent="0.35">
      <c r="B62" s="230"/>
      <c r="C62" s="225"/>
      <c r="D62" s="229" t="s">
        <v>1082</v>
      </c>
      <c r="E62" s="225"/>
      <c r="F62" s="268">
        <f>'PRECIO DEL METRAJE'!E63</f>
        <v>0</v>
      </c>
      <c r="G62" s="225" t="s">
        <v>1099</v>
      </c>
      <c r="H62" s="272">
        <f>'PRECIO DEL METRAJE'!K63</f>
        <v>6.8999999999999995</v>
      </c>
      <c r="I62" s="272">
        <f>'PRECIO DEL METRAJE'!M63</f>
        <v>0</v>
      </c>
      <c r="J62" s="270"/>
      <c r="K62" s="280"/>
      <c r="M62" s="62" t="str">
        <f t="shared" si="4"/>
        <v>OCULTAR</v>
      </c>
      <c r="N62" s="62"/>
      <c r="O62" s="62"/>
      <c r="P62" s="62"/>
      <c r="Q62" s="62"/>
      <c r="R62" s="62"/>
      <c r="S62" s="62"/>
    </row>
    <row r="63" spans="2:30" ht="86.25" customHeight="1" x14ac:dyDescent="0.35">
      <c r="B63" s="230"/>
      <c r="C63" s="225"/>
      <c r="D63" s="229" t="s">
        <v>1083</v>
      </c>
      <c r="E63" s="225"/>
      <c r="F63" s="268">
        <f>'PRECIO DEL METRAJE'!E64</f>
        <v>0</v>
      </c>
      <c r="G63" s="225" t="s">
        <v>215</v>
      </c>
      <c r="H63" s="272">
        <f>'PRECIO DEL METRAJE'!K64</f>
        <v>10.1</v>
      </c>
      <c r="I63" s="272">
        <f>'PRECIO DEL METRAJE'!M64</f>
        <v>0</v>
      </c>
      <c r="J63" s="270"/>
      <c r="K63" s="280"/>
      <c r="M63" s="62" t="str">
        <f t="shared" si="4"/>
        <v>OCULTAR</v>
      </c>
      <c r="N63" s="62"/>
      <c r="O63" s="62"/>
      <c r="P63" s="62"/>
      <c r="Q63" s="62"/>
      <c r="R63" s="62"/>
      <c r="S63" s="62"/>
    </row>
    <row r="64" spans="2:30" ht="88.5" customHeight="1" x14ac:dyDescent="0.45">
      <c r="B64" s="230"/>
      <c r="C64" s="225"/>
      <c r="D64" s="229" t="s">
        <v>1084</v>
      </c>
      <c r="E64" s="225"/>
      <c r="F64" s="268">
        <f>'PRECIO DEL METRAJE'!E65</f>
        <v>0</v>
      </c>
      <c r="G64" s="225" t="s">
        <v>1099</v>
      </c>
      <c r="H64" s="272">
        <f>'PRECIO DEL METRAJE'!K65</f>
        <v>12.2</v>
      </c>
      <c r="I64" s="272">
        <f>'PRECIO DEL METRAJE'!M65</f>
        <v>0</v>
      </c>
      <c r="J64" s="270"/>
      <c r="K64" s="280"/>
      <c r="M64" s="62" t="str">
        <f t="shared" si="4"/>
        <v>OCULTAR</v>
      </c>
      <c r="N64" s="68"/>
      <c r="O64" s="62"/>
      <c r="P64" s="62"/>
      <c r="Q64" s="62"/>
      <c r="R64" s="62"/>
      <c r="S64" s="62"/>
    </row>
    <row r="65" spans="2:19" ht="88.5" customHeight="1" x14ac:dyDescent="0.45">
      <c r="B65" s="230"/>
      <c r="C65" s="225"/>
      <c r="D65" s="229" t="s">
        <v>1085</v>
      </c>
      <c r="E65" s="225"/>
      <c r="F65" s="268">
        <f>'PRECIO DEL METRAJE'!E66</f>
        <v>18.900000000000002</v>
      </c>
      <c r="G65" s="225" t="s">
        <v>215</v>
      </c>
      <c r="H65" s="272">
        <f>'PRECIO DEL METRAJE'!K66</f>
        <v>3.4</v>
      </c>
      <c r="I65" s="272">
        <f>'PRECIO DEL METRAJE'!M66</f>
        <v>64.260000000000005</v>
      </c>
      <c r="J65" s="270"/>
      <c r="K65" s="280"/>
      <c r="M65" s="62" t="str">
        <f t="shared" si="4"/>
        <v>OCULTAR</v>
      </c>
      <c r="N65" s="68"/>
      <c r="O65" s="62"/>
      <c r="P65" s="62"/>
      <c r="Q65" s="62"/>
      <c r="R65" s="62"/>
      <c r="S65" s="62"/>
    </row>
    <row r="66" spans="2:19" ht="66" customHeight="1" x14ac:dyDescent="0.45">
      <c r="B66" s="230"/>
      <c r="C66" s="225"/>
      <c r="D66" s="229" t="s">
        <v>1086</v>
      </c>
      <c r="E66" s="225"/>
      <c r="F66" s="268">
        <f>'PRECIO DEL METRAJE'!E67</f>
        <v>6</v>
      </c>
      <c r="G66" s="225" t="s">
        <v>215</v>
      </c>
      <c r="H66" s="272">
        <f>'PRECIO DEL METRAJE'!K67</f>
        <v>2.9</v>
      </c>
      <c r="I66" s="272">
        <f>'PRECIO DEL METRAJE'!M67</f>
        <v>17.399999999999999</v>
      </c>
      <c r="J66" s="270"/>
      <c r="K66" s="280"/>
      <c r="M66" s="62" t="str">
        <f t="shared" si="4"/>
        <v>OCULTAR</v>
      </c>
      <c r="N66" s="68"/>
      <c r="O66" s="62"/>
      <c r="P66" s="62"/>
      <c r="Q66" s="62"/>
      <c r="R66" s="62"/>
      <c r="S66" s="62"/>
    </row>
    <row r="67" spans="2:19" ht="18" customHeight="1" x14ac:dyDescent="0.45">
      <c r="B67" s="230"/>
      <c r="C67" s="225"/>
      <c r="D67" s="229" t="s">
        <v>1087</v>
      </c>
      <c r="E67" s="225"/>
      <c r="F67" s="268">
        <f>'PRECIO DEL METRAJE'!E68</f>
        <v>7</v>
      </c>
      <c r="G67" s="225" t="s">
        <v>215</v>
      </c>
      <c r="H67" s="272">
        <f>'PRECIO DEL METRAJE'!K68</f>
        <v>6.1999999999999993</v>
      </c>
      <c r="I67" s="272">
        <f>'PRECIO DEL METRAJE'!M68</f>
        <v>43.399999999999991</v>
      </c>
      <c r="J67" s="270"/>
      <c r="K67" s="280"/>
      <c r="M67" s="62" t="str">
        <f t="shared" si="4"/>
        <v>OCULTAR</v>
      </c>
      <c r="N67" s="68"/>
      <c r="O67" s="62"/>
      <c r="P67" s="62"/>
      <c r="Q67" s="62"/>
      <c r="R67" s="62"/>
      <c r="S67" s="62"/>
    </row>
    <row r="68" spans="2:19" ht="18" customHeight="1" x14ac:dyDescent="0.45">
      <c r="B68" s="230"/>
      <c r="C68" s="225"/>
      <c r="D68" s="229" t="s">
        <v>1088</v>
      </c>
      <c r="E68" s="225"/>
      <c r="F68" s="268">
        <f>'PRECIO DEL METRAJE'!E69</f>
        <v>0</v>
      </c>
      <c r="G68" s="225" t="s">
        <v>215</v>
      </c>
      <c r="H68" s="272">
        <f>'PRECIO DEL METRAJE'!K69</f>
        <v>5.3</v>
      </c>
      <c r="I68" s="272">
        <f>'PRECIO DEL METRAJE'!M69</f>
        <v>0</v>
      </c>
      <c r="J68" s="270"/>
      <c r="K68" s="280"/>
      <c r="M68" s="62" t="str">
        <f t="shared" si="4"/>
        <v>OCULTAR</v>
      </c>
      <c r="N68" s="68"/>
      <c r="O68" s="62"/>
      <c r="P68" s="62"/>
      <c r="Q68" s="62"/>
      <c r="R68" s="62"/>
      <c r="S68" s="62"/>
    </row>
    <row r="69" spans="2:19" ht="18" customHeight="1" x14ac:dyDescent="0.45">
      <c r="B69" s="230"/>
      <c r="C69" s="225"/>
      <c r="D69" s="229" t="s">
        <v>1089</v>
      </c>
      <c r="E69" s="225"/>
      <c r="F69" s="268">
        <f>'PRECIO DEL METRAJE'!E70</f>
        <v>0</v>
      </c>
      <c r="G69" s="225" t="s">
        <v>215</v>
      </c>
      <c r="H69" s="272">
        <f>'PRECIO DEL METRAJE'!K70</f>
        <v>6.8999999999999995</v>
      </c>
      <c r="I69" s="272">
        <f>'PRECIO DEL METRAJE'!M70</f>
        <v>0</v>
      </c>
      <c r="J69" s="270"/>
      <c r="K69" s="280"/>
      <c r="L69" s="61"/>
      <c r="M69" s="62" t="str">
        <f t="shared" si="4"/>
        <v>OCULTAR</v>
      </c>
      <c r="N69" s="68"/>
      <c r="O69" s="62"/>
      <c r="P69" s="62"/>
      <c r="Q69" s="62"/>
      <c r="R69" s="62"/>
      <c r="S69" s="62"/>
    </row>
    <row r="70" spans="2:19" ht="71.25" customHeight="1" x14ac:dyDescent="0.45">
      <c r="B70" s="230"/>
      <c r="C70" s="225"/>
      <c r="D70" s="229" t="s">
        <v>1090</v>
      </c>
      <c r="E70" s="225"/>
      <c r="F70" s="268">
        <f>'PRECIO DEL METRAJE'!E71</f>
        <v>0</v>
      </c>
      <c r="G70" s="225" t="s">
        <v>1099</v>
      </c>
      <c r="H70" s="272">
        <f>'PRECIO DEL METRAJE'!K71</f>
        <v>4.8</v>
      </c>
      <c r="I70" s="272">
        <f>'PRECIO DEL METRAJE'!M71</f>
        <v>0</v>
      </c>
      <c r="J70" s="270"/>
      <c r="K70" s="280"/>
      <c r="M70" s="62" t="str">
        <f t="shared" si="4"/>
        <v>OCULTAR</v>
      </c>
      <c r="N70" s="68"/>
      <c r="O70" s="62"/>
      <c r="P70" s="62"/>
      <c r="Q70" s="62"/>
      <c r="R70" s="62"/>
      <c r="S70" s="62"/>
    </row>
    <row r="71" spans="2:19" ht="18" customHeight="1" x14ac:dyDescent="0.35">
      <c r="B71" s="230"/>
      <c r="C71" s="225"/>
      <c r="D71" s="229" t="s">
        <v>1091</v>
      </c>
      <c r="E71" s="225"/>
      <c r="F71" s="268">
        <f>'PRECIO DEL METRAJE'!E72</f>
        <v>0</v>
      </c>
      <c r="G71" s="225" t="s">
        <v>215</v>
      </c>
      <c r="H71" s="272">
        <f>'PRECIO DEL METRAJE'!K72</f>
        <v>5.1999999999999993</v>
      </c>
      <c r="I71" s="272">
        <f>'PRECIO DEL METRAJE'!M72</f>
        <v>0</v>
      </c>
      <c r="J71" s="270"/>
      <c r="K71" s="280"/>
      <c r="M71" s="62" t="str">
        <f t="shared" si="4"/>
        <v>OCULTAR</v>
      </c>
      <c r="N71" s="62"/>
      <c r="O71" s="62"/>
      <c r="P71" s="62"/>
      <c r="Q71" s="62"/>
      <c r="R71" s="62"/>
      <c r="S71" s="62"/>
    </row>
    <row r="72" spans="2:19" ht="18" customHeight="1" x14ac:dyDescent="0.35">
      <c r="B72" s="230"/>
      <c r="C72" s="225"/>
      <c r="D72" s="229" t="s">
        <v>1092</v>
      </c>
      <c r="E72" s="225"/>
      <c r="F72" s="268">
        <f>'PRECIO DEL METRAJE'!E73</f>
        <v>0</v>
      </c>
      <c r="G72" s="225" t="s">
        <v>215</v>
      </c>
      <c r="H72" s="272">
        <f>'PRECIO DEL METRAJE'!K73</f>
        <v>6.1999999999999993</v>
      </c>
      <c r="I72" s="272">
        <f>'PRECIO DEL METRAJE'!M73</f>
        <v>0</v>
      </c>
      <c r="J72" s="270"/>
      <c r="K72" s="280"/>
      <c r="M72" s="62" t="str">
        <f t="shared" si="4"/>
        <v>OCULTAR</v>
      </c>
      <c r="N72" s="62"/>
      <c r="O72" s="62"/>
      <c r="P72" s="62"/>
      <c r="Q72" s="62"/>
      <c r="R72" s="62"/>
      <c r="S72" s="62"/>
    </row>
    <row r="73" spans="2:19" ht="18" customHeight="1" x14ac:dyDescent="0.35">
      <c r="B73" s="230"/>
      <c r="C73" s="225"/>
      <c r="D73" s="229" t="s">
        <v>1093</v>
      </c>
      <c r="E73" s="225"/>
      <c r="F73" s="268">
        <f>'PRECIO DEL METRAJE'!E74</f>
        <v>0</v>
      </c>
      <c r="G73" s="225" t="s">
        <v>60</v>
      </c>
      <c r="H73" s="272">
        <f>'PRECIO DEL METRAJE'!K74</f>
        <v>13.9</v>
      </c>
      <c r="I73" s="272">
        <f>'PRECIO DEL METRAJE'!M74</f>
        <v>0</v>
      </c>
      <c r="J73" s="270"/>
      <c r="K73" s="280"/>
      <c r="M73" s="62" t="str">
        <f t="shared" si="4"/>
        <v>OCULTAR</v>
      </c>
      <c r="N73" s="62"/>
      <c r="O73" s="62"/>
      <c r="P73" s="62"/>
      <c r="Q73" s="62"/>
      <c r="R73" s="62"/>
      <c r="S73" s="62"/>
    </row>
    <row r="74" spans="2:19" ht="18" customHeight="1" x14ac:dyDescent="0.35">
      <c r="B74" s="230"/>
      <c r="C74" s="225"/>
      <c r="D74" s="229" t="s">
        <v>1094</v>
      </c>
      <c r="E74" s="225"/>
      <c r="F74" s="268">
        <f>'PRECIO DEL METRAJE'!E75</f>
        <v>0</v>
      </c>
      <c r="G74" s="225" t="s">
        <v>1099</v>
      </c>
      <c r="H74" s="272">
        <f>'PRECIO DEL METRAJE'!K75</f>
        <v>3.8000000000000003</v>
      </c>
      <c r="I74" s="272">
        <f>'PRECIO DEL METRAJE'!M75</f>
        <v>0</v>
      </c>
      <c r="J74" s="270"/>
      <c r="K74" s="280"/>
      <c r="M74" s="62" t="str">
        <f t="shared" si="4"/>
        <v>OCULTAR</v>
      </c>
      <c r="N74" s="62"/>
      <c r="O74" s="62"/>
      <c r="P74" s="62"/>
      <c r="Q74" s="62"/>
      <c r="R74" s="62"/>
      <c r="S74" s="62"/>
    </row>
    <row r="75" spans="2:19" ht="18" customHeight="1" x14ac:dyDescent="0.35">
      <c r="B75" s="230"/>
      <c r="C75" s="225"/>
      <c r="D75" s="229" t="s">
        <v>1095</v>
      </c>
      <c r="E75" s="225"/>
      <c r="F75" s="268">
        <f>'PRECIO DEL METRAJE'!E76</f>
        <v>0</v>
      </c>
      <c r="G75" s="225" t="s">
        <v>1099</v>
      </c>
      <c r="H75" s="272">
        <f>'PRECIO DEL METRAJE'!K76</f>
        <v>7.3999999999999995</v>
      </c>
      <c r="I75" s="272">
        <f>'PRECIO DEL METRAJE'!M76</f>
        <v>0</v>
      </c>
      <c r="J75" s="270"/>
      <c r="K75" s="280"/>
      <c r="M75" s="62" t="str">
        <f t="shared" si="4"/>
        <v>OCULTAR</v>
      </c>
      <c r="N75" s="62"/>
      <c r="O75" s="62"/>
      <c r="P75" s="62"/>
      <c r="Q75" s="62"/>
      <c r="R75" s="62"/>
      <c r="S75" s="62"/>
    </row>
    <row r="76" spans="2:19" ht="18" customHeight="1" x14ac:dyDescent="0.35">
      <c r="B76" s="230"/>
      <c r="C76" s="225"/>
      <c r="D76" s="229" t="s">
        <v>1096</v>
      </c>
      <c r="E76" s="225"/>
      <c r="F76" s="268">
        <f>'PRECIO DEL METRAJE'!E77</f>
        <v>0</v>
      </c>
      <c r="G76" s="225" t="s">
        <v>1099</v>
      </c>
      <c r="H76" s="272">
        <f>'PRECIO DEL METRAJE'!K77</f>
        <v>7.5</v>
      </c>
      <c r="I76" s="272">
        <f>'PRECIO DEL METRAJE'!M77</f>
        <v>0</v>
      </c>
      <c r="J76" s="270"/>
      <c r="K76" s="280"/>
      <c r="M76" s="62" t="str">
        <f t="shared" si="4"/>
        <v>OCULTAR</v>
      </c>
      <c r="N76" s="62"/>
      <c r="O76" s="62"/>
      <c r="P76" s="62"/>
      <c r="Q76" s="62"/>
      <c r="R76" s="62"/>
      <c r="S76" s="62"/>
    </row>
    <row r="77" spans="2:19" ht="18" customHeight="1" x14ac:dyDescent="0.35">
      <c r="B77" s="230">
        <f>IF(J77&gt;0,B57+0.1,B57)</f>
        <v>2.2000000000000002</v>
      </c>
      <c r="C77" s="258"/>
      <c r="D77" s="278" t="s">
        <v>91</v>
      </c>
      <c r="E77" s="258"/>
      <c r="F77" s="285">
        <f>IF(J77&gt;1,1,0)</f>
        <v>1</v>
      </c>
      <c r="G77" s="258"/>
      <c r="H77" s="274"/>
      <c r="I77" s="274"/>
      <c r="J77" s="274">
        <f>IF(N78=0,SUM(I79),I78)</f>
        <v>43</v>
      </c>
      <c r="K77" s="280"/>
      <c r="M77" s="62" t="str">
        <f>IF(J77&gt;0.1,"MOSTRAR","OCULTAR")</f>
        <v>MOSTRAR</v>
      </c>
      <c r="N77" s="62"/>
      <c r="O77" s="62"/>
      <c r="P77" s="62"/>
      <c r="Q77" s="62"/>
      <c r="R77" s="62"/>
      <c r="S77" s="62"/>
    </row>
    <row r="78" spans="2:19" ht="91.5" customHeight="1" x14ac:dyDescent="0.35">
      <c r="B78" s="230"/>
      <c r="C78" s="225"/>
      <c r="D78" s="244" t="s">
        <v>1097</v>
      </c>
      <c r="E78" s="257"/>
      <c r="F78" s="268">
        <v>1</v>
      </c>
      <c r="G78" s="225" t="s">
        <v>1078</v>
      </c>
      <c r="H78" s="272"/>
      <c r="I78" s="272">
        <f>I79</f>
        <v>43</v>
      </c>
      <c r="J78" s="270"/>
      <c r="K78" s="280"/>
      <c r="M78" s="237" t="str">
        <f>IF(OR(OB78&gt;0.1,N78=1),"MOSTRAR","OCULTAR")</f>
        <v>MOSTRAR</v>
      </c>
      <c r="N78" s="238">
        <v>1</v>
      </c>
      <c r="O78" s="240" t="s">
        <v>515</v>
      </c>
      <c r="P78" s="62"/>
      <c r="Q78" s="62"/>
      <c r="R78" s="62"/>
      <c r="S78" s="62"/>
    </row>
    <row r="79" spans="2:19" ht="18" customHeight="1" x14ac:dyDescent="0.35">
      <c r="B79" s="230"/>
      <c r="C79" s="225"/>
      <c r="D79" s="229" t="s">
        <v>1098</v>
      </c>
      <c r="E79" s="290"/>
      <c r="F79" s="268">
        <f>'PRECIO DEL METRAJE'!E81</f>
        <v>10</v>
      </c>
      <c r="G79" s="225" t="s">
        <v>1099</v>
      </c>
      <c r="H79" s="272">
        <f>'PRECIO DEL METRAJE'!K81</f>
        <v>4.3</v>
      </c>
      <c r="I79" s="272">
        <f>'PRECIO DEL METRAJE'!M81</f>
        <v>43</v>
      </c>
      <c r="J79" s="270"/>
      <c r="K79" s="280"/>
      <c r="M79" s="62" t="str">
        <f>IF(AND(F79&gt;0.1,$N$78=0),"MOSTRAR","OCULTAR")</f>
        <v>OCULTAR</v>
      </c>
      <c r="N79" s="62"/>
      <c r="O79" s="62"/>
      <c r="P79" s="62"/>
      <c r="Q79" s="62"/>
      <c r="R79" s="62"/>
      <c r="S79" s="62"/>
    </row>
    <row r="80" spans="2:19" ht="18" customHeight="1" x14ac:dyDescent="0.35">
      <c r="B80" s="230"/>
      <c r="C80" s="225"/>
      <c r="D80" s="229"/>
      <c r="E80" s="225"/>
      <c r="F80" s="257">
        <f>IF(K81&gt;1,1,0)</f>
        <v>0</v>
      </c>
      <c r="G80" s="257"/>
      <c r="H80" s="272"/>
      <c r="I80" s="272"/>
      <c r="J80" s="270"/>
      <c r="K80" s="280"/>
      <c r="M80" s="62" t="str">
        <f t="shared" ref="M80:M143" si="5">IF(F80&gt;0.1,"MOSTRAR","OCULTAR")</f>
        <v>OCULTAR</v>
      </c>
      <c r="N80" s="62"/>
      <c r="O80" s="62"/>
      <c r="P80" s="62"/>
      <c r="Q80" s="62"/>
      <c r="R80" s="62"/>
      <c r="S80" s="62"/>
    </row>
    <row r="81" spans="2:19" ht="18" customHeight="1" x14ac:dyDescent="0.35">
      <c r="B81" s="250">
        <f>IF(K81&gt;0,B56+1,B56)</f>
        <v>2</v>
      </c>
      <c r="C81" s="261"/>
      <c r="D81" s="251" t="s">
        <v>1102</v>
      </c>
      <c r="E81" s="261"/>
      <c r="F81" s="291">
        <f>IF(K81&gt;1,1,0)</f>
        <v>0</v>
      </c>
      <c r="G81" s="261"/>
      <c r="H81" s="275"/>
      <c r="I81" s="275"/>
      <c r="J81" s="292"/>
      <c r="K81" s="253">
        <f>J82+J88</f>
        <v>0</v>
      </c>
      <c r="L81" s="63"/>
      <c r="M81" s="62" t="str">
        <f>IF(K81&gt;0.1,"MOSTRAR","OCULTAR")</f>
        <v>OCULTAR</v>
      </c>
      <c r="N81" s="62"/>
      <c r="O81" s="62"/>
      <c r="P81" s="62"/>
      <c r="Q81" s="62"/>
      <c r="R81" s="62"/>
      <c r="S81" s="62"/>
    </row>
    <row r="82" spans="2:19" ht="18" customHeight="1" x14ac:dyDescent="0.35">
      <c r="B82" s="230">
        <f>IF(J82&gt;0,B81+0.1,B81)</f>
        <v>2</v>
      </c>
      <c r="C82" s="258"/>
      <c r="D82" s="278" t="s">
        <v>1101</v>
      </c>
      <c r="E82" s="258"/>
      <c r="F82" s="285">
        <f>IF(J82&gt;1,1,0)</f>
        <v>0</v>
      </c>
      <c r="G82" s="258"/>
      <c r="H82" s="274"/>
      <c r="I82" s="274"/>
      <c r="J82" s="274">
        <f>SUM(I83:I87)</f>
        <v>0</v>
      </c>
      <c r="K82" s="280"/>
      <c r="M82" s="62" t="str">
        <f>IF(J82&gt;0.1,"MOSTRAR","OCULTAR")</f>
        <v>OCULTAR</v>
      </c>
      <c r="N82" s="62"/>
      <c r="O82" s="62"/>
      <c r="P82" s="62"/>
      <c r="Q82" s="62"/>
      <c r="R82" s="62"/>
      <c r="S82" s="62"/>
    </row>
    <row r="83" spans="2:19" ht="90" customHeight="1" x14ac:dyDescent="0.35">
      <c r="B83" s="544"/>
      <c r="C83" s="293"/>
      <c r="D83" s="235" t="s">
        <v>1103</v>
      </c>
      <c r="E83" s="225"/>
      <c r="F83" s="268">
        <f>'PRECIO DEL METRAJE'!E86</f>
        <v>0</v>
      </c>
      <c r="G83" s="225" t="s">
        <v>1099</v>
      </c>
      <c r="H83" s="272">
        <f>'PRECIO DEL METRAJE'!K86</f>
        <v>820</v>
      </c>
      <c r="I83" s="272">
        <f>'PRECIO DEL METRAJE'!M86</f>
        <v>0</v>
      </c>
      <c r="J83" s="270"/>
      <c r="K83" s="280"/>
      <c r="M83" s="62" t="str">
        <f t="shared" si="5"/>
        <v>OCULTAR</v>
      </c>
      <c r="N83" s="62"/>
      <c r="O83" s="62"/>
      <c r="P83" s="62"/>
      <c r="Q83" s="62"/>
      <c r="R83" s="62"/>
      <c r="S83" s="62"/>
    </row>
    <row r="84" spans="2:19" ht="90.75" customHeight="1" x14ac:dyDescent="0.35">
      <c r="B84" s="544"/>
      <c r="C84" s="293"/>
      <c r="D84" s="235" t="s">
        <v>1104</v>
      </c>
      <c r="E84" s="225"/>
      <c r="F84" s="268">
        <f>'PRECIO DEL METRAJE'!E87</f>
        <v>0</v>
      </c>
      <c r="G84" s="225" t="s">
        <v>1099</v>
      </c>
      <c r="H84" s="272">
        <f>'PRECIO DEL METRAJE'!K87</f>
        <v>856</v>
      </c>
      <c r="I84" s="272">
        <f>'PRECIO DEL METRAJE'!M87</f>
        <v>0</v>
      </c>
      <c r="J84" s="270"/>
      <c r="K84" s="280"/>
      <c r="M84" s="62" t="str">
        <f t="shared" si="5"/>
        <v>OCULTAR</v>
      </c>
      <c r="N84" s="62"/>
      <c r="O84" s="62"/>
      <c r="P84" s="62"/>
      <c r="Q84" s="62"/>
      <c r="R84" s="62"/>
      <c r="S84" s="62"/>
    </row>
    <row r="85" spans="2:19" ht="91.5" customHeight="1" x14ac:dyDescent="0.35">
      <c r="B85" s="544"/>
      <c r="C85" s="293"/>
      <c r="D85" s="235" t="s">
        <v>1105</v>
      </c>
      <c r="E85" s="225"/>
      <c r="F85" s="268">
        <f>'PRECIO DEL METRAJE'!E88</f>
        <v>0</v>
      </c>
      <c r="G85" s="225" t="s">
        <v>1099</v>
      </c>
      <c r="H85" s="272">
        <f>'PRECIO DEL METRAJE'!K88</f>
        <v>850</v>
      </c>
      <c r="I85" s="272">
        <f>'PRECIO DEL METRAJE'!M88</f>
        <v>0</v>
      </c>
      <c r="J85" s="270"/>
      <c r="K85" s="280"/>
      <c r="M85" s="62" t="str">
        <f t="shared" si="5"/>
        <v>OCULTAR</v>
      </c>
      <c r="N85" s="62"/>
      <c r="O85" s="62"/>
      <c r="P85" s="62"/>
      <c r="Q85" s="62"/>
      <c r="R85" s="62"/>
      <c r="S85" s="62"/>
    </row>
    <row r="86" spans="2:19" ht="85.5" customHeight="1" x14ac:dyDescent="0.35">
      <c r="B86" s="544"/>
      <c r="C86" s="293"/>
      <c r="D86" s="235" t="s">
        <v>1106</v>
      </c>
      <c r="E86" s="225"/>
      <c r="F86" s="268">
        <f>'PRECIO DEL METRAJE'!E89</f>
        <v>0</v>
      </c>
      <c r="G86" s="225" t="s">
        <v>1099</v>
      </c>
      <c r="H86" s="272">
        <f>'PRECIO DEL METRAJE'!K89</f>
        <v>860</v>
      </c>
      <c r="I86" s="272">
        <f>'PRECIO DEL METRAJE'!M89</f>
        <v>0</v>
      </c>
      <c r="J86" s="270"/>
      <c r="K86" s="280"/>
      <c r="M86" s="62" t="str">
        <f t="shared" si="5"/>
        <v>OCULTAR</v>
      </c>
      <c r="N86" s="62"/>
      <c r="O86" s="62"/>
      <c r="P86" s="62"/>
      <c r="Q86" s="62"/>
      <c r="R86" s="62"/>
      <c r="S86" s="62"/>
    </row>
    <row r="87" spans="2:19" ht="18" customHeight="1" x14ac:dyDescent="0.35">
      <c r="B87" s="230"/>
      <c r="C87" s="225"/>
      <c r="D87" s="229" t="s">
        <v>1107</v>
      </c>
      <c r="E87" s="225"/>
      <c r="F87" s="268">
        <f>'PRECIO DEL METRAJE'!E90</f>
        <v>0</v>
      </c>
      <c r="G87" s="225" t="s">
        <v>1099</v>
      </c>
      <c r="H87" s="272">
        <f>'PRECIO DEL METRAJE'!K90</f>
        <v>0</v>
      </c>
      <c r="I87" s="272">
        <f>'PRECIO DEL METRAJE'!M90</f>
        <v>0</v>
      </c>
      <c r="J87" s="270"/>
      <c r="K87" s="280"/>
      <c r="M87" s="62" t="str">
        <f t="shared" si="5"/>
        <v>OCULTAR</v>
      </c>
      <c r="N87" s="62"/>
      <c r="O87" s="62"/>
      <c r="P87" s="62"/>
      <c r="Q87" s="62"/>
      <c r="R87" s="62"/>
      <c r="S87" s="62"/>
    </row>
    <row r="88" spans="2:19" ht="18" customHeight="1" x14ac:dyDescent="0.35">
      <c r="B88" s="230">
        <f>IF(J88&gt;0,B82+0.1,B82)</f>
        <v>2</v>
      </c>
      <c r="C88" s="258"/>
      <c r="D88" s="278" t="s">
        <v>1108</v>
      </c>
      <c r="E88" s="258"/>
      <c r="F88" s="285">
        <f>IF(J88&gt;1,1,0)</f>
        <v>0</v>
      </c>
      <c r="G88" s="258"/>
      <c r="H88" s="274"/>
      <c r="I88" s="274"/>
      <c r="J88" s="274">
        <f>SUM(I89:I93)</f>
        <v>0</v>
      </c>
      <c r="K88" s="280"/>
      <c r="M88" s="62" t="str">
        <f>IF(J88&gt;0.1,"MOSTRAR","OCULTAR")</f>
        <v>OCULTAR</v>
      </c>
      <c r="N88" s="62"/>
      <c r="O88" s="62"/>
      <c r="P88" s="62"/>
      <c r="Q88" s="62"/>
      <c r="R88" s="62"/>
      <c r="S88" s="62"/>
    </row>
    <row r="89" spans="2:19" ht="85.5" customHeight="1" x14ac:dyDescent="0.35">
      <c r="B89" s="544"/>
      <c r="C89" s="293"/>
      <c r="D89" s="235" t="s">
        <v>1109</v>
      </c>
      <c r="E89" s="225"/>
      <c r="F89" s="268">
        <f>'PRECIO DEL METRAJE'!E92</f>
        <v>0</v>
      </c>
      <c r="G89" s="225" t="s">
        <v>1099</v>
      </c>
      <c r="H89" s="272">
        <f>'PRECIO DEL METRAJE'!K92</f>
        <v>1528</v>
      </c>
      <c r="I89" s="272">
        <f>'PRECIO DEL METRAJE'!M92</f>
        <v>0</v>
      </c>
      <c r="J89" s="270"/>
      <c r="K89" s="280"/>
      <c r="M89" s="62" t="str">
        <f t="shared" si="5"/>
        <v>OCULTAR</v>
      </c>
      <c r="N89" s="62"/>
      <c r="O89" s="62"/>
      <c r="P89" s="62"/>
      <c r="Q89" s="62"/>
      <c r="R89" s="62"/>
      <c r="S89" s="62"/>
    </row>
    <row r="90" spans="2:19" ht="85.5" customHeight="1" x14ac:dyDescent="0.35">
      <c r="B90" s="544"/>
      <c r="C90" s="293"/>
      <c r="D90" s="235" t="s">
        <v>1110</v>
      </c>
      <c r="E90" s="225"/>
      <c r="F90" s="268">
        <f>'PRECIO DEL METRAJE'!E93</f>
        <v>0</v>
      </c>
      <c r="G90" s="225" t="s">
        <v>1099</v>
      </c>
      <c r="H90" s="272">
        <f>'PRECIO DEL METRAJE'!K93</f>
        <v>1588</v>
      </c>
      <c r="I90" s="272">
        <f>'PRECIO DEL METRAJE'!M93</f>
        <v>0</v>
      </c>
      <c r="J90" s="270"/>
      <c r="K90" s="280"/>
      <c r="M90" s="62" t="str">
        <f t="shared" si="5"/>
        <v>OCULTAR</v>
      </c>
      <c r="N90" s="62"/>
      <c r="O90" s="62"/>
      <c r="P90" s="62"/>
      <c r="Q90" s="62"/>
      <c r="R90" s="62"/>
      <c r="S90" s="62"/>
    </row>
    <row r="91" spans="2:19" ht="81.75" customHeight="1" x14ac:dyDescent="0.35">
      <c r="B91" s="544"/>
      <c r="C91" s="293"/>
      <c r="D91" s="235" t="s">
        <v>1111</v>
      </c>
      <c r="E91" s="225"/>
      <c r="F91" s="268">
        <f>'PRECIO DEL METRAJE'!E94</f>
        <v>0</v>
      </c>
      <c r="G91" s="225" t="s">
        <v>1099</v>
      </c>
      <c r="H91" s="272">
        <f>'PRECIO DEL METRAJE'!K94</f>
        <v>1520</v>
      </c>
      <c r="I91" s="272">
        <f>'PRECIO DEL METRAJE'!M94</f>
        <v>0</v>
      </c>
      <c r="J91" s="270"/>
      <c r="K91" s="280"/>
      <c r="M91" s="62" t="str">
        <f t="shared" si="5"/>
        <v>OCULTAR</v>
      </c>
      <c r="N91" s="62"/>
      <c r="O91" s="62"/>
      <c r="P91" s="62"/>
      <c r="Q91" s="62"/>
      <c r="R91" s="62"/>
      <c r="S91" s="62"/>
    </row>
    <row r="92" spans="2:19" ht="83.25" customHeight="1" x14ac:dyDescent="0.35">
      <c r="B92" s="544"/>
      <c r="C92" s="293"/>
      <c r="D92" s="235" t="s">
        <v>1112</v>
      </c>
      <c r="E92" s="225"/>
      <c r="F92" s="268">
        <f>'PRECIO DEL METRAJE'!E95</f>
        <v>0</v>
      </c>
      <c r="G92" s="225" t="s">
        <v>1099</v>
      </c>
      <c r="H92" s="272">
        <f>'PRECIO DEL METRAJE'!K95</f>
        <v>1660</v>
      </c>
      <c r="I92" s="272">
        <f>'PRECIO DEL METRAJE'!M95</f>
        <v>0</v>
      </c>
      <c r="J92" s="270"/>
      <c r="K92" s="280"/>
      <c r="M92" s="62" t="str">
        <f t="shared" si="5"/>
        <v>OCULTAR</v>
      </c>
      <c r="N92" s="62"/>
      <c r="O92" s="62"/>
      <c r="P92" s="62"/>
      <c r="Q92" s="62"/>
      <c r="R92" s="62"/>
      <c r="S92" s="62"/>
    </row>
    <row r="93" spans="2:19" ht="15" customHeight="1" x14ac:dyDescent="0.35">
      <c r="B93" s="230"/>
      <c r="C93" s="225"/>
      <c r="D93" s="235"/>
      <c r="E93" s="225"/>
      <c r="F93" s="225"/>
      <c r="G93" s="225"/>
      <c r="H93" s="272"/>
      <c r="I93" s="272"/>
      <c r="J93" s="270"/>
      <c r="K93" s="280"/>
      <c r="M93" s="62" t="str">
        <f t="shared" si="5"/>
        <v>OCULTAR</v>
      </c>
      <c r="N93" s="62"/>
      <c r="O93" s="62"/>
      <c r="P93" s="62"/>
      <c r="Q93" s="62"/>
      <c r="R93" s="62"/>
      <c r="S93" s="62"/>
    </row>
    <row r="94" spans="2:19" ht="21.75" customHeight="1" x14ac:dyDescent="0.35">
      <c r="B94" s="250">
        <f>IF(K94&gt;0,B81+1,B81)</f>
        <v>2</v>
      </c>
      <c r="C94" s="261"/>
      <c r="D94" s="251" t="s">
        <v>1113</v>
      </c>
      <c r="E94" s="261"/>
      <c r="F94" s="291">
        <f>IF(K94&gt;1,1,0)</f>
        <v>0</v>
      </c>
      <c r="G94" s="261"/>
      <c r="H94" s="275"/>
      <c r="I94" s="275"/>
      <c r="J94" s="292"/>
      <c r="K94" s="253">
        <f>J95+J101</f>
        <v>0</v>
      </c>
      <c r="M94" s="62" t="str">
        <f>IF(K94&gt;0.1,"MOSTRAR","OCULTAR")</f>
        <v>OCULTAR</v>
      </c>
      <c r="N94" s="62"/>
      <c r="O94" s="62"/>
      <c r="P94" s="62"/>
      <c r="Q94" s="62"/>
      <c r="R94" s="62"/>
      <c r="S94" s="62"/>
    </row>
    <row r="95" spans="2:19" ht="21.75" customHeight="1" x14ac:dyDescent="0.35">
      <c r="B95" s="230">
        <f>IF(J95&gt;0,B94+0.1,B94)</f>
        <v>2</v>
      </c>
      <c r="C95" s="258"/>
      <c r="D95" s="278" t="s">
        <v>1114</v>
      </c>
      <c r="E95" s="258"/>
      <c r="F95" s="285">
        <f>IF(J95&gt;1,1,0)</f>
        <v>0</v>
      </c>
      <c r="G95" s="258"/>
      <c r="H95" s="274"/>
      <c r="I95" s="274"/>
      <c r="J95" s="274">
        <f>SUM(I96:I100)</f>
        <v>0</v>
      </c>
      <c r="K95" s="280"/>
      <c r="M95" s="62" t="str">
        <f>IF(J95&gt;0.1,"MOSTRAR","OCULTAR")</f>
        <v>OCULTAR</v>
      </c>
      <c r="N95" s="62"/>
      <c r="O95" s="62"/>
      <c r="P95" s="62"/>
      <c r="Q95" s="62"/>
      <c r="R95" s="62"/>
      <c r="S95" s="62"/>
    </row>
    <row r="96" spans="2:19" ht="94.5" customHeight="1" x14ac:dyDescent="0.35">
      <c r="B96" s="544"/>
      <c r="C96" s="293"/>
      <c r="D96" s="236" t="s">
        <v>1103</v>
      </c>
      <c r="E96" s="225"/>
      <c r="F96" s="268">
        <f>'PRECIO DEL METRAJE'!E100</f>
        <v>0</v>
      </c>
      <c r="G96" s="225" t="s">
        <v>1099</v>
      </c>
      <c r="H96" s="272">
        <f>'PRECIO DEL METRAJE'!K100</f>
        <v>820</v>
      </c>
      <c r="I96" s="272">
        <f>'PRECIO DEL METRAJE'!M100</f>
        <v>0</v>
      </c>
      <c r="J96" s="270"/>
      <c r="K96" s="280"/>
      <c r="M96" s="62" t="str">
        <f t="shared" si="5"/>
        <v>OCULTAR</v>
      </c>
      <c r="N96" s="62"/>
      <c r="O96" s="62"/>
      <c r="P96" s="62"/>
      <c r="Q96" s="62"/>
      <c r="R96" s="62"/>
      <c r="S96" s="62"/>
    </row>
    <row r="97" spans="2:19" ht="90" customHeight="1" x14ac:dyDescent="0.35">
      <c r="B97" s="544"/>
      <c r="C97" s="293"/>
      <c r="D97" s="244" t="s">
        <v>1115</v>
      </c>
      <c r="E97" s="225"/>
      <c r="F97" s="268">
        <f>'PRECIO DEL METRAJE'!E101</f>
        <v>0</v>
      </c>
      <c r="G97" s="225" t="s">
        <v>1099</v>
      </c>
      <c r="H97" s="272">
        <f>'PRECIO DEL METRAJE'!K101</f>
        <v>856</v>
      </c>
      <c r="I97" s="272">
        <f>'PRECIO DEL METRAJE'!M101</f>
        <v>0</v>
      </c>
      <c r="J97" s="270"/>
      <c r="K97" s="280"/>
      <c r="M97" s="62" t="str">
        <f t="shared" si="5"/>
        <v>OCULTAR</v>
      </c>
      <c r="N97" s="62"/>
      <c r="O97" s="62"/>
      <c r="P97" s="62"/>
      <c r="Q97" s="62"/>
      <c r="R97" s="62"/>
      <c r="S97" s="62"/>
    </row>
    <row r="98" spans="2:19" ht="92.25" customHeight="1" x14ac:dyDescent="0.35">
      <c r="B98" s="544"/>
      <c r="C98" s="293"/>
      <c r="D98" s="235" t="s">
        <v>1116</v>
      </c>
      <c r="E98" s="225"/>
      <c r="F98" s="268">
        <f>'PRECIO DEL METRAJE'!E102</f>
        <v>0</v>
      </c>
      <c r="G98" s="225" t="s">
        <v>1099</v>
      </c>
      <c r="H98" s="272">
        <f>'PRECIO DEL METRAJE'!K102</f>
        <v>850</v>
      </c>
      <c r="I98" s="272">
        <f>'PRECIO DEL METRAJE'!M102</f>
        <v>0</v>
      </c>
      <c r="J98" s="270"/>
      <c r="K98" s="280"/>
      <c r="M98" s="62" t="str">
        <f t="shared" si="5"/>
        <v>OCULTAR</v>
      </c>
      <c r="N98" s="62"/>
      <c r="O98" s="62"/>
      <c r="P98" s="62"/>
      <c r="Q98" s="62"/>
      <c r="R98" s="62"/>
      <c r="S98" s="62"/>
    </row>
    <row r="99" spans="2:19" ht="93.75" customHeight="1" x14ac:dyDescent="0.35">
      <c r="B99" s="544"/>
      <c r="C99" s="293"/>
      <c r="D99" s="235" t="s">
        <v>1106</v>
      </c>
      <c r="E99" s="225"/>
      <c r="F99" s="268">
        <f>'PRECIO DEL METRAJE'!E103</f>
        <v>0</v>
      </c>
      <c r="G99" s="225" t="s">
        <v>1099</v>
      </c>
      <c r="H99" s="272">
        <f>'PRECIO DEL METRAJE'!K103</f>
        <v>860</v>
      </c>
      <c r="I99" s="272">
        <f>'PRECIO DEL METRAJE'!M103</f>
        <v>0</v>
      </c>
      <c r="J99" s="270"/>
      <c r="K99" s="280"/>
      <c r="M99" s="62" t="str">
        <f t="shared" si="5"/>
        <v>OCULTAR</v>
      </c>
      <c r="N99" s="62"/>
      <c r="O99" s="62"/>
      <c r="P99" s="62"/>
      <c r="Q99" s="62"/>
      <c r="R99" s="62"/>
      <c r="S99" s="62"/>
    </row>
    <row r="100" spans="2:19" ht="6.75" customHeight="1" x14ac:dyDescent="0.35">
      <c r="B100" s="230"/>
      <c r="C100" s="225"/>
      <c r="D100" s="229"/>
      <c r="E100" s="225"/>
      <c r="F100" s="268"/>
      <c r="G100" s="225"/>
      <c r="H100" s="272"/>
      <c r="I100" s="272"/>
      <c r="J100" s="270"/>
      <c r="K100" s="280"/>
      <c r="M100" s="62" t="str">
        <f t="shared" si="5"/>
        <v>OCULTAR</v>
      </c>
      <c r="N100" s="62"/>
      <c r="O100" s="62"/>
      <c r="P100" s="62"/>
      <c r="Q100" s="62"/>
      <c r="R100" s="62"/>
      <c r="S100" s="62"/>
    </row>
    <row r="101" spans="2:19" ht="23.25" customHeight="1" x14ac:dyDescent="0.35">
      <c r="B101" s="230">
        <f>IF(J101&gt;0,B95+0.1,B95)</f>
        <v>2</v>
      </c>
      <c r="C101" s="258"/>
      <c r="D101" s="278" t="s">
        <v>1117</v>
      </c>
      <c r="E101" s="258"/>
      <c r="F101" s="285">
        <f>IF(J101&gt;1,1,0)</f>
        <v>0</v>
      </c>
      <c r="G101" s="258"/>
      <c r="H101" s="274"/>
      <c r="I101" s="274"/>
      <c r="J101" s="274">
        <f>SUM(I102:I106)</f>
        <v>0</v>
      </c>
      <c r="K101" s="280"/>
      <c r="M101" s="62" t="str">
        <f>IF(J101&gt;0.1,"MOSTRAR","OCULTAR")</f>
        <v>OCULTAR</v>
      </c>
      <c r="N101" s="62"/>
      <c r="O101" s="62"/>
      <c r="P101" s="62"/>
      <c r="Q101" s="62"/>
      <c r="R101" s="62"/>
      <c r="S101" s="62"/>
    </row>
    <row r="102" spans="2:19" ht="71.25" customHeight="1" x14ac:dyDescent="0.35">
      <c r="B102" s="544"/>
      <c r="C102" s="293"/>
      <c r="D102" s="235" t="s">
        <v>1109</v>
      </c>
      <c r="E102" s="225"/>
      <c r="F102" s="268">
        <f>'PRECIO DEL METRAJE'!E106</f>
        <v>0</v>
      </c>
      <c r="G102" s="225" t="s">
        <v>1099</v>
      </c>
      <c r="H102" s="272">
        <f>'PRECIO DEL METRAJE'!K106</f>
        <v>1528</v>
      </c>
      <c r="I102" s="272">
        <f>'PRECIO DEL METRAJE'!M106</f>
        <v>0</v>
      </c>
      <c r="J102" s="270"/>
      <c r="K102" s="280"/>
      <c r="M102" s="62" t="str">
        <f t="shared" si="5"/>
        <v>OCULTAR</v>
      </c>
      <c r="N102" s="62"/>
      <c r="O102" s="62"/>
      <c r="P102" s="62"/>
      <c r="Q102" s="62"/>
      <c r="R102" s="62"/>
      <c r="S102" s="62"/>
    </row>
    <row r="103" spans="2:19" ht="102.75" customHeight="1" x14ac:dyDescent="0.35">
      <c r="B103" s="544"/>
      <c r="C103" s="293"/>
      <c r="D103" s="235" t="s">
        <v>1110</v>
      </c>
      <c r="E103" s="225"/>
      <c r="F103" s="268">
        <f>'PRECIO DEL METRAJE'!E107</f>
        <v>0</v>
      </c>
      <c r="G103" s="225" t="s">
        <v>1099</v>
      </c>
      <c r="H103" s="272">
        <f>'PRECIO DEL METRAJE'!K107</f>
        <v>1588</v>
      </c>
      <c r="I103" s="272">
        <f>'PRECIO DEL METRAJE'!M107</f>
        <v>0</v>
      </c>
      <c r="J103" s="270"/>
      <c r="K103" s="280"/>
      <c r="M103" s="62" t="str">
        <f t="shared" si="5"/>
        <v>OCULTAR</v>
      </c>
      <c r="N103" s="62"/>
      <c r="O103" s="62"/>
      <c r="P103" s="62"/>
      <c r="Q103" s="62"/>
      <c r="R103" s="62"/>
      <c r="S103" s="62"/>
    </row>
    <row r="104" spans="2:19" ht="94.5" customHeight="1" x14ac:dyDescent="0.35">
      <c r="B104" s="544"/>
      <c r="C104" s="293"/>
      <c r="D104" s="235" t="s">
        <v>1111</v>
      </c>
      <c r="E104" s="225"/>
      <c r="F104" s="268">
        <f>'PRECIO DEL METRAJE'!E108</f>
        <v>0</v>
      </c>
      <c r="G104" s="225" t="s">
        <v>1099</v>
      </c>
      <c r="H104" s="272">
        <f>'PRECIO DEL METRAJE'!K108</f>
        <v>1520</v>
      </c>
      <c r="I104" s="272">
        <f>'PRECIO DEL METRAJE'!M108</f>
        <v>0</v>
      </c>
      <c r="J104" s="270"/>
      <c r="K104" s="280"/>
      <c r="M104" s="62" t="str">
        <f t="shared" si="5"/>
        <v>OCULTAR</v>
      </c>
      <c r="N104" s="62"/>
      <c r="O104" s="62"/>
      <c r="P104" s="62"/>
      <c r="Q104" s="62"/>
      <c r="R104" s="62"/>
      <c r="S104" s="62"/>
    </row>
    <row r="105" spans="2:19" ht="85.5" customHeight="1" x14ac:dyDescent="0.35">
      <c r="B105" s="544"/>
      <c r="C105" s="293"/>
      <c r="D105" s="235" t="s">
        <v>1112</v>
      </c>
      <c r="E105" s="225"/>
      <c r="F105" s="268">
        <f>'PRECIO DEL METRAJE'!E109</f>
        <v>0</v>
      </c>
      <c r="G105" s="225" t="s">
        <v>1099</v>
      </c>
      <c r="H105" s="272">
        <f>'PRECIO DEL METRAJE'!K109</f>
        <v>1660</v>
      </c>
      <c r="I105" s="272">
        <f>'PRECIO DEL METRAJE'!M109</f>
        <v>0</v>
      </c>
      <c r="J105" s="270"/>
      <c r="K105" s="280"/>
      <c r="M105" s="62" t="str">
        <f t="shared" si="5"/>
        <v>OCULTAR</v>
      </c>
      <c r="N105" s="62"/>
      <c r="O105" s="62"/>
      <c r="P105" s="62"/>
      <c r="Q105" s="62"/>
      <c r="R105" s="62"/>
      <c r="S105" s="62"/>
    </row>
    <row r="106" spans="2:19" ht="21.75" customHeight="1" x14ac:dyDescent="0.35">
      <c r="B106" s="230"/>
      <c r="C106" s="225"/>
      <c r="D106" s="235"/>
      <c r="E106" s="225"/>
      <c r="F106" s="268"/>
      <c r="G106" s="225"/>
      <c r="H106" s="272"/>
      <c r="I106" s="272"/>
      <c r="J106" s="270"/>
      <c r="K106" s="280"/>
      <c r="M106" s="62" t="str">
        <f t="shared" si="5"/>
        <v>OCULTAR</v>
      </c>
      <c r="N106" s="62"/>
      <c r="O106" s="62"/>
      <c r="P106" s="62"/>
      <c r="Q106" s="62"/>
      <c r="R106" s="62"/>
      <c r="S106" s="62"/>
    </row>
    <row r="107" spans="2:19" ht="21.75" customHeight="1" x14ac:dyDescent="0.35">
      <c r="B107" s="250">
        <f>IF(K107&gt;0,B94+1,B94)</f>
        <v>2</v>
      </c>
      <c r="C107" s="261"/>
      <c r="D107" s="251" t="s">
        <v>1118</v>
      </c>
      <c r="E107" s="261"/>
      <c r="F107" s="291">
        <f>IF(K107&gt;1,1,0)</f>
        <v>0</v>
      </c>
      <c r="G107" s="261"/>
      <c r="H107" s="275"/>
      <c r="I107" s="275"/>
      <c r="J107" s="292"/>
      <c r="K107" s="253">
        <f>J108+J114</f>
        <v>0</v>
      </c>
      <c r="M107" s="62" t="str">
        <f>IF(K107&gt;0.1,"MOSTRAR","OCULTAR")</f>
        <v>OCULTAR</v>
      </c>
      <c r="N107" s="62"/>
      <c r="O107" s="62"/>
      <c r="P107" s="62"/>
      <c r="Q107" s="62"/>
      <c r="R107" s="62"/>
      <c r="S107" s="62"/>
    </row>
    <row r="108" spans="2:19" ht="21.75" customHeight="1" x14ac:dyDescent="0.35">
      <c r="B108" s="230">
        <f>IF(J108&gt;0,B107+0.1,B107)</f>
        <v>2</v>
      </c>
      <c r="C108" s="258"/>
      <c r="D108" s="278" t="s">
        <v>1119</v>
      </c>
      <c r="E108" s="258"/>
      <c r="F108" s="285">
        <f>IF(J108&gt;1,1,0)</f>
        <v>0</v>
      </c>
      <c r="G108" s="258"/>
      <c r="H108" s="274"/>
      <c r="I108" s="274"/>
      <c r="J108" s="274">
        <f>SUM(I109:I113)</f>
        <v>0</v>
      </c>
      <c r="K108" s="280"/>
      <c r="M108" s="62" t="str">
        <f>IF(J108&gt;0.1,"MOSTRAR","OCULTAR")</f>
        <v>OCULTAR</v>
      </c>
      <c r="N108" s="62"/>
      <c r="O108" s="62"/>
      <c r="P108" s="62"/>
      <c r="Q108" s="62"/>
      <c r="R108" s="62"/>
      <c r="S108" s="62"/>
    </row>
    <row r="109" spans="2:19" ht="144" customHeight="1" x14ac:dyDescent="0.35">
      <c r="B109" s="544"/>
      <c r="C109" s="293"/>
      <c r="D109" s="236" t="s">
        <v>1120</v>
      </c>
      <c r="E109" s="225"/>
      <c r="F109" s="268">
        <f>'PRECIO DEL METRAJE'!E114</f>
        <v>0</v>
      </c>
      <c r="G109" s="225" t="s">
        <v>1099</v>
      </c>
      <c r="H109" s="272">
        <f>'PRECIO DEL METRAJE'!K114</f>
        <v>820</v>
      </c>
      <c r="I109" s="272">
        <f>'PRECIO DEL METRAJE'!M114</f>
        <v>0</v>
      </c>
      <c r="J109" s="270"/>
      <c r="K109" s="280"/>
      <c r="M109" s="62" t="str">
        <f t="shared" si="5"/>
        <v>OCULTAR</v>
      </c>
      <c r="N109" s="62"/>
      <c r="O109" s="62"/>
      <c r="P109" s="62"/>
      <c r="Q109" s="62"/>
      <c r="R109" s="62"/>
      <c r="S109" s="62"/>
    </row>
    <row r="110" spans="2:19" ht="137.25" customHeight="1" x14ac:dyDescent="0.35">
      <c r="B110" s="544"/>
      <c r="C110" s="293"/>
      <c r="D110" s="244" t="s">
        <v>1121</v>
      </c>
      <c r="E110" s="225"/>
      <c r="F110" s="268">
        <f>'PRECIO DEL METRAJE'!E115</f>
        <v>0</v>
      </c>
      <c r="G110" s="225" t="s">
        <v>1099</v>
      </c>
      <c r="H110" s="272">
        <f>'PRECIO DEL METRAJE'!K115</f>
        <v>856</v>
      </c>
      <c r="I110" s="272">
        <f>'PRECIO DEL METRAJE'!M115</f>
        <v>0</v>
      </c>
      <c r="J110" s="272"/>
      <c r="K110" s="280"/>
      <c r="M110" s="62" t="str">
        <f t="shared" si="5"/>
        <v>OCULTAR</v>
      </c>
      <c r="N110" s="62"/>
      <c r="O110" s="62"/>
      <c r="P110" s="62"/>
      <c r="Q110" s="62"/>
      <c r="R110" s="62"/>
      <c r="S110" s="62"/>
    </row>
    <row r="111" spans="2:19" ht="144" customHeight="1" x14ac:dyDescent="0.35">
      <c r="B111" s="544"/>
      <c r="C111" s="293"/>
      <c r="D111" s="235" t="s">
        <v>1122</v>
      </c>
      <c r="E111" s="225"/>
      <c r="F111" s="268">
        <f>'PRECIO DEL METRAJE'!E116</f>
        <v>0</v>
      </c>
      <c r="G111" s="225" t="s">
        <v>1099</v>
      </c>
      <c r="H111" s="272">
        <f>'PRECIO DEL METRAJE'!K116</f>
        <v>850</v>
      </c>
      <c r="I111" s="272">
        <f>'PRECIO DEL METRAJE'!M116</f>
        <v>0</v>
      </c>
      <c r="J111" s="270"/>
      <c r="K111" s="280"/>
      <c r="M111" s="62" t="str">
        <f t="shared" si="5"/>
        <v>OCULTAR</v>
      </c>
      <c r="N111" s="62"/>
      <c r="O111" s="62"/>
      <c r="P111" s="62"/>
      <c r="Q111" s="62"/>
      <c r="R111" s="62"/>
      <c r="S111" s="62"/>
    </row>
    <row r="112" spans="2:19" ht="145.5" customHeight="1" x14ac:dyDescent="0.35">
      <c r="B112" s="544"/>
      <c r="C112" s="293"/>
      <c r="D112" s="235" t="s">
        <v>1123</v>
      </c>
      <c r="E112" s="225"/>
      <c r="F112" s="268">
        <f>'PRECIO DEL METRAJE'!E117</f>
        <v>0</v>
      </c>
      <c r="G112" s="225" t="s">
        <v>1099</v>
      </c>
      <c r="H112" s="272">
        <f>'PRECIO DEL METRAJE'!K117</f>
        <v>860</v>
      </c>
      <c r="I112" s="272">
        <f>'PRECIO DEL METRAJE'!M117</f>
        <v>0</v>
      </c>
      <c r="J112" s="270"/>
      <c r="K112" s="280"/>
      <c r="M112" s="62" t="str">
        <f t="shared" si="5"/>
        <v>OCULTAR</v>
      </c>
      <c r="N112" s="62"/>
      <c r="O112" s="62"/>
      <c r="P112" s="62"/>
      <c r="Q112" s="62"/>
      <c r="R112" s="62"/>
      <c r="S112" s="62"/>
    </row>
    <row r="113" spans="2:19" ht="7.5" customHeight="1" x14ac:dyDescent="0.35">
      <c r="B113" s="230"/>
      <c r="C113" s="225"/>
      <c r="D113" s="229"/>
      <c r="E113" s="225"/>
      <c r="F113" s="268"/>
      <c r="G113" s="225"/>
      <c r="H113" s="272"/>
      <c r="I113" s="272"/>
      <c r="J113" s="270"/>
      <c r="K113" s="280"/>
      <c r="M113" s="62" t="str">
        <f t="shared" si="5"/>
        <v>OCULTAR</v>
      </c>
      <c r="N113" s="62"/>
      <c r="O113" s="62"/>
      <c r="P113" s="62"/>
      <c r="Q113" s="62"/>
      <c r="R113" s="62"/>
      <c r="S113" s="62"/>
    </row>
    <row r="114" spans="2:19" ht="21.75" customHeight="1" x14ac:dyDescent="0.35">
      <c r="B114" s="230">
        <f>IF(J114&gt;0,B108+0.1,B108)</f>
        <v>2</v>
      </c>
      <c r="C114" s="258"/>
      <c r="D114" s="278" t="s">
        <v>1124</v>
      </c>
      <c r="E114" s="258"/>
      <c r="F114" s="285">
        <f>IF(J114&gt;1,1,0)</f>
        <v>0</v>
      </c>
      <c r="G114" s="258"/>
      <c r="H114" s="274"/>
      <c r="I114" s="274"/>
      <c r="J114" s="274">
        <f>SUM(I115:I119)</f>
        <v>0</v>
      </c>
      <c r="K114" s="280"/>
      <c r="M114" s="62" t="str">
        <f>IF(J114&gt;0.1,"MOSTRAR","OCULTAR")</f>
        <v>OCULTAR</v>
      </c>
      <c r="N114" s="62"/>
      <c r="O114" s="62"/>
      <c r="P114" s="62"/>
      <c r="Q114" s="62"/>
      <c r="R114" s="62"/>
      <c r="S114" s="62"/>
    </row>
    <row r="115" spans="2:19" ht="110.25" customHeight="1" x14ac:dyDescent="0.35">
      <c r="B115" s="544"/>
      <c r="C115" s="293"/>
      <c r="D115" s="235" t="s">
        <v>1125</v>
      </c>
      <c r="E115" s="225"/>
      <c r="F115" s="268">
        <f>'PRECIO DEL METRAJE'!E120</f>
        <v>0</v>
      </c>
      <c r="G115" s="225" t="s">
        <v>1099</v>
      </c>
      <c r="H115" s="272">
        <f>'PRECIO DEL METRAJE'!K120</f>
        <v>1528</v>
      </c>
      <c r="I115" s="272">
        <f>'PRECIO DEL METRAJE'!M120</f>
        <v>0</v>
      </c>
      <c r="J115" s="270"/>
      <c r="K115" s="280"/>
      <c r="M115" s="62" t="str">
        <f t="shared" si="5"/>
        <v>OCULTAR</v>
      </c>
      <c r="N115" s="62"/>
      <c r="O115" s="62"/>
      <c r="P115" s="62"/>
      <c r="Q115" s="62"/>
      <c r="R115" s="62"/>
      <c r="S115" s="62"/>
    </row>
    <row r="116" spans="2:19" ht="98.25" customHeight="1" x14ac:dyDescent="0.35">
      <c r="B116" s="544"/>
      <c r="C116" s="293"/>
      <c r="D116" s="235" t="s">
        <v>1126</v>
      </c>
      <c r="E116" s="225"/>
      <c r="F116" s="268">
        <f>'PRECIO DEL METRAJE'!E121</f>
        <v>0</v>
      </c>
      <c r="G116" s="225" t="s">
        <v>1099</v>
      </c>
      <c r="H116" s="272">
        <f>'PRECIO DEL METRAJE'!K121</f>
        <v>1588</v>
      </c>
      <c r="I116" s="272">
        <f>'PRECIO DEL METRAJE'!M121</f>
        <v>0</v>
      </c>
      <c r="J116" s="270"/>
      <c r="K116" s="280"/>
      <c r="M116" s="62" t="str">
        <f t="shared" si="5"/>
        <v>OCULTAR</v>
      </c>
      <c r="N116" s="62"/>
      <c r="O116" s="62"/>
      <c r="P116" s="62"/>
      <c r="Q116" s="62"/>
      <c r="R116" s="62"/>
      <c r="S116" s="62"/>
    </row>
    <row r="117" spans="2:19" ht="96.75" customHeight="1" x14ac:dyDescent="0.35">
      <c r="B117" s="544"/>
      <c r="C117" s="293"/>
      <c r="D117" s="235" t="s">
        <v>1207</v>
      </c>
      <c r="E117" s="225"/>
      <c r="F117" s="268">
        <f>'PRECIO DEL METRAJE'!E122</f>
        <v>0</v>
      </c>
      <c r="G117" s="225" t="s">
        <v>1099</v>
      </c>
      <c r="H117" s="272">
        <f>'PRECIO DEL METRAJE'!K122</f>
        <v>1520</v>
      </c>
      <c r="I117" s="272">
        <f>'PRECIO DEL METRAJE'!M122</f>
        <v>0</v>
      </c>
      <c r="J117" s="270"/>
      <c r="K117" s="280"/>
      <c r="M117" s="62" t="str">
        <f t="shared" si="5"/>
        <v>OCULTAR</v>
      </c>
      <c r="N117" s="62"/>
      <c r="O117" s="62"/>
      <c r="P117" s="62"/>
      <c r="Q117" s="62"/>
      <c r="R117" s="62"/>
      <c r="S117" s="62"/>
    </row>
    <row r="118" spans="2:19" ht="111" customHeight="1" x14ac:dyDescent="0.35">
      <c r="B118" s="544"/>
      <c r="C118" s="293"/>
      <c r="D118" s="235" t="s">
        <v>1208</v>
      </c>
      <c r="E118" s="225"/>
      <c r="F118" s="268">
        <f>'PRECIO DEL METRAJE'!E123</f>
        <v>0</v>
      </c>
      <c r="G118" s="225" t="s">
        <v>1099</v>
      </c>
      <c r="H118" s="272">
        <f>'PRECIO DEL METRAJE'!K123</f>
        <v>1660</v>
      </c>
      <c r="I118" s="272">
        <f>'PRECIO DEL METRAJE'!M123</f>
        <v>0</v>
      </c>
      <c r="J118" s="270"/>
      <c r="K118" s="280"/>
      <c r="M118" s="62" t="str">
        <f t="shared" si="5"/>
        <v>OCULTAR</v>
      </c>
      <c r="N118" s="62"/>
      <c r="O118" s="62"/>
      <c r="P118" s="62"/>
      <c r="Q118" s="62"/>
      <c r="R118" s="62"/>
      <c r="S118" s="62"/>
    </row>
    <row r="119" spans="2:19" ht="12.75" customHeight="1" x14ac:dyDescent="0.35">
      <c r="B119" s="230"/>
      <c r="C119" s="225"/>
      <c r="D119" s="235"/>
      <c r="E119" s="225"/>
      <c r="F119" s="268"/>
      <c r="G119" s="225"/>
      <c r="H119" s="272"/>
      <c r="I119" s="272"/>
      <c r="J119" s="270"/>
      <c r="K119" s="280"/>
      <c r="M119" s="62" t="str">
        <f t="shared" si="5"/>
        <v>OCULTAR</v>
      </c>
      <c r="N119" s="62"/>
      <c r="O119" s="62"/>
      <c r="P119" s="62"/>
      <c r="Q119" s="62"/>
      <c r="R119" s="62"/>
      <c r="S119" s="62"/>
    </row>
    <row r="120" spans="2:19" ht="18" customHeight="1" x14ac:dyDescent="0.35">
      <c r="B120" s="250">
        <f>IF(K120&gt;0,B107+1,B107)</f>
        <v>2</v>
      </c>
      <c r="C120" s="261"/>
      <c r="D120" s="251" t="s">
        <v>1206</v>
      </c>
      <c r="E120" s="261"/>
      <c r="F120" s="291">
        <f>IF(K120&gt;1,1,0)</f>
        <v>0</v>
      </c>
      <c r="G120" s="261"/>
      <c r="H120" s="275"/>
      <c r="I120" s="275"/>
      <c r="J120" s="275"/>
      <c r="K120" s="253">
        <f>SUM(J121)</f>
        <v>0</v>
      </c>
      <c r="M120" s="62" t="str">
        <f>IF(K120&gt;0.1,"MOSTRAR","OCULTAR")</f>
        <v>OCULTAR</v>
      </c>
      <c r="N120" s="62"/>
      <c r="O120" s="62"/>
      <c r="P120" s="62"/>
      <c r="Q120" s="62"/>
      <c r="R120" s="62"/>
      <c r="S120" s="62"/>
    </row>
    <row r="121" spans="2:19" ht="19.5" customHeight="1" x14ac:dyDescent="0.35">
      <c r="B121" s="230">
        <f>IF(J121&gt;0,B120+0.1,B120)</f>
        <v>2</v>
      </c>
      <c r="C121" s="258"/>
      <c r="D121" s="278" t="s">
        <v>1206</v>
      </c>
      <c r="E121" s="258"/>
      <c r="F121" s="285">
        <f>IF(J121&gt;1,1,0)</f>
        <v>0</v>
      </c>
      <c r="G121" s="258"/>
      <c r="H121" s="274"/>
      <c r="I121" s="274"/>
      <c r="J121" s="274">
        <f>SUM(I122:I144)</f>
        <v>0</v>
      </c>
      <c r="K121" s="280"/>
      <c r="M121" s="62" t="str">
        <f>IF(J121&gt;0.1,"MOSTRAR","OCULTAR")</f>
        <v>OCULTAR</v>
      </c>
      <c r="N121" s="62"/>
      <c r="O121" s="62"/>
      <c r="P121" s="62"/>
      <c r="Q121" s="62"/>
      <c r="R121" s="62"/>
      <c r="S121" s="62"/>
    </row>
    <row r="122" spans="2:19" ht="50.25" customHeight="1" x14ac:dyDescent="0.35">
      <c r="B122" s="230"/>
      <c r="C122" s="640"/>
      <c r="D122" s="229" t="s">
        <v>1205</v>
      </c>
      <c r="E122" s="225"/>
      <c r="F122" s="268">
        <f>'PRECIO DEL METRAJE'!E126</f>
        <v>0</v>
      </c>
      <c r="G122" s="225" t="s">
        <v>1099</v>
      </c>
      <c r="H122" s="272">
        <f>'PRECIO DEL METRAJE'!K126</f>
        <v>36</v>
      </c>
      <c r="I122" s="272">
        <f t="shared" ref="I122:I144" si="6">H122*F122</f>
        <v>0</v>
      </c>
      <c r="J122" s="270"/>
      <c r="K122" s="280"/>
      <c r="M122" s="62" t="str">
        <f t="shared" si="5"/>
        <v>OCULTAR</v>
      </c>
      <c r="N122" s="62"/>
      <c r="O122" s="62"/>
      <c r="P122" s="62"/>
      <c r="Q122" s="62"/>
      <c r="R122" s="62"/>
      <c r="S122" s="62"/>
    </row>
    <row r="123" spans="2:19" ht="54.75" customHeight="1" x14ac:dyDescent="0.35">
      <c r="B123" s="230"/>
      <c r="C123" s="640"/>
      <c r="D123" s="229" t="s">
        <v>1204</v>
      </c>
      <c r="E123" s="225"/>
      <c r="F123" s="268">
        <f>'PRECIO DEL METRAJE'!E127</f>
        <v>0</v>
      </c>
      <c r="G123" s="225" t="s">
        <v>1099</v>
      </c>
      <c r="H123" s="272">
        <f>'PRECIO DEL METRAJE'!K127</f>
        <v>53</v>
      </c>
      <c r="I123" s="272">
        <f t="shared" si="6"/>
        <v>0</v>
      </c>
      <c r="J123" s="270"/>
      <c r="K123" s="280"/>
      <c r="M123" s="62" t="str">
        <f t="shared" si="5"/>
        <v>OCULTAR</v>
      </c>
      <c r="N123" s="62"/>
      <c r="O123" s="62"/>
      <c r="P123" s="62"/>
      <c r="Q123" s="62"/>
      <c r="R123" s="62"/>
      <c r="S123" s="62"/>
    </row>
    <row r="124" spans="2:19" ht="78.75" customHeight="1" x14ac:dyDescent="0.35">
      <c r="B124" s="230"/>
      <c r="C124" s="423"/>
      <c r="D124" s="235" t="s">
        <v>1203</v>
      </c>
      <c r="E124" s="225"/>
      <c r="F124" s="268">
        <f>'PRECIO DEL METRAJE'!E128</f>
        <v>0</v>
      </c>
      <c r="G124" s="225" t="s">
        <v>1099</v>
      </c>
      <c r="H124" s="272">
        <f>'PRECIO DEL METRAJE'!K128</f>
        <v>165.7</v>
      </c>
      <c r="I124" s="272">
        <f t="shared" si="6"/>
        <v>0</v>
      </c>
      <c r="J124" s="270"/>
      <c r="K124" s="280"/>
      <c r="M124" s="62" t="str">
        <f t="shared" si="5"/>
        <v>OCULTAR</v>
      </c>
      <c r="N124" s="62"/>
      <c r="O124" s="62"/>
      <c r="P124" s="62"/>
      <c r="Q124" s="62"/>
      <c r="R124" s="62"/>
      <c r="S124" s="62"/>
    </row>
    <row r="125" spans="2:19" ht="84" customHeight="1" x14ac:dyDescent="0.35">
      <c r="B125" s="230"/>
      <c r="C125" s="423"/>
      <c r="D125" s="235" t="s">
        <v>1202</v>
      </c>
      <c r="E125" s="225"/>
      <c r="F125" s="268">
        <f>'PRECIO DEL METRAJE'!E129</f>
        <v>0</v>
      </c>
      <c r="G125" s="225" t="s">
        <v>1099</v>
      </c>
      <c r="H125" s="272">
        <f>'PRECIO DEL METRAJE'!K129</f>
        <v>216</v>
      </c>
      <c r="I125" s="272">
        <f t="shared" si="6"/>
        <v>0</v>
      </c>
      <c r="J125" s="270"/>
      <c r="K125" s="280"/>
      <c r="M125" s="62" t="str">
        <f t="shared" si="5"/>
        <v>OCULTAR</v>
      </c>
      <c r="N125" s="62"/>
      <c r="O125" s="62"/>
      <c r="P125" s="62"/>
      <c r="Q125" s="62"/>
      <c r="R125" s="62"/>
      <c r="S125" s="62"/>
    </row>
    <row r="126" spans="2:19" ht="18" customHeight="1" x14ac:dyDescent="0.35">
      <c r="B126" s="230"/>
      <c r="C126" s="423"/>
      <c r="D126" s="229" t="s">
        <v>1200</v>
      </c>
      <c r="E126" s="225"/>
      <c r="F126" s="268">
        <f>'PRECIO DEL METRAJE'!E130</f>
        <v>0</v>
      </c>
      <c r="G126" s="225" t="s">
        <v>1099</v>
      </c>
      <c r="H126" s="272">
        <f>'PRECIO DEL METRAJE'!K130</f>
        <v>36</v>
      </c>
      <c r="I126" s="272">
        <f t="shared" si="6"/>
        <v>0</v>
      </c>
      <c r="J126" s="270"/>
      <c r="K126" s="280"/>
      <c r="M126" s="62" t="str">
        <f t="shared" si="5"/>
        <v>OCULTAR</v>
      </c>
      <c r="N126" s="62"/>
      <c r="O126" s="62"/>
      <c r="P126" s="62"/>
      <c r="Q126" s="62"/>
      <c r="R126" s="62"/>
      <c r="S126" s="62"/>
    </row>
    <row r="127" spans="2:19" ht="18" customHeight="1" x14ac:dyDescent="0.35">
      <c r="B127" s="230"/>
      <c r="C127" s="423"/>
      <c r="D127" s="229" t="s">
        <v>1201</v>
      </c>
      <c r="E127" s="225"/>
      <c r="F127" s="268">
        <f>'PRECIO DEL METRAJE'!E131</f>
        <v>0</v>
      </c>
      <c r="G127" s="225" t="s">
        <v>1099</v>
      </c>
      <c r="H127" s="272">
        <f>'PRECIO DEL METRAJE'!K131</f>
        <v>90</v>
      </c>
      <c r="I127" s="272">
        <f t="shared" si="6"/>
        <v>0</v>
      </c>
      <c r="J127" s="270"/>
      <c r="K127" s="280"/>
      <c r="M127" s="62" t="str">
        <f t="shared" si="5"/>
        <v>OCULTAR</v>
      </c>
      <c r="N127" s="62"/>
      <c r="O127" s="62"/>
      <c r="P127" s="62"/>
      <c r="Q127" s="62"/>
      <c r="R127" s="62"/>
      <c r="S127" s="62"/>
    </row>
    <row r="128" spans="2:19" ht="48" customHeight="1" x14ac:dyDescent="0.35">
      <c r="B128" s="230"/>
      <c r="C128" s="423"/>
      <c r="D128" s="229" t="s">
        <v>1199</v>
      </c>
      <c r="E128" s="225"/>
      <c r="F128" s="268">
        <f>'PRECIO DEL METRAJE'!E132</f>
        <v>0</v>
      </c>
      <c r="G128" s="225" t="s">
        <v>1099</v>
      </c>
      <c r="H128" s="272">
        <f>'PRECIO DEL METRAJE'!K132</f>
        <v>79</v>
      </c>
      <c r="I128" s="272">
        <f t="shared" si="6"/>
        <v>0</v>
      </c>
      <c r="J128" s="270"/>
      <c r="K128" s="280"/>
      <c r="M128" s="62" t="str">
        <f t="shared" si="5"/>
        <v>OCULTAR</v>
      </c>
      <c r="N128" s="62"/>
      <c r="O128" s="62"/>
      <c r="P128" s="62"/>
      <c r="Q128" s="62"/>
      <c r="R128" s="62"/>
      <c r="S128" s="62"/>
    </row>
    <row r="129" spans="2:19" ht="55.5" customHeight="1" x14ac:dyDescent="0.35">
      <c r="B129" s="230"/>
      <c r="C129" s="423"/>
      <c r="D129" s="229" t="s">
        <v>1198</v>
      </c>
      <c r="E129" s="225"/>
      <c r="F129" s="268">
        <f>'PRECIO DEL METRAJE'!E133</f>
        <v>0</v>
      </c>
      <c r="G129" s="225" t="s">
        <v>1099</v>
      </c>
      <c r="H129" s="272">
        <f>'PRECIO DEL METRAJE'!K133</f>
        <v>104.2</v>
      </c>
      <c r="I129" s="272">
        <f t="shared" si="6"/>
        <v>0</v>
      </c>
      <c r="J129" s="270"/>
      <c r="K129" s="280"/>
      <c r="M129" s="62" t="str">
        <f t="shared" si="5"/>
        <v>OCULTAR</v>
      </c>
      <c r="N129" s="62"/>
      <c r="O129" s="62"/>
      <c r="P129" s="62"/>
      <c r="Q129" s="62"/>
      <c r="R129" s="62"/>
      <c r="S129" s="62"/>
    </row>
    <row r="130" spans="2:19" ht="98.25" customHeight="1" x14ac:dyDescent="0.35">
      <c r="B130" s="230"/>
      <c r="C130" s="423"/>
      <c r="D130" s="229" t="s">
        <v>1197</v>
      </c>
      <c r="E130" s="225"/>
      <c r="F130" s="268">
        <f>'PRECIO DEL METRAJE'!E134</f>
        <v>0</v>
      </c>
      <c r="G130" s="225" t="s">
        <v>1099</v>
      </c>
      <c r="H130" s="272">
        <f>'PRECIO DEL METRAJE'!K134</f>
        <v>122.4</v>
      </c>
      <c r="I130" s="272">
        <f t="shared" si="6"/>
        <v>0</v>
      </c>
      <c r="J130" s="270"/>
      <c r="K130" s="280"/>
      <c r="M130" s="62" t="str">
        <f t="shared" si="5"/>
        <v>OCULTAR</v>
      </c>
      <c r="N130" s="62"/>
      <c r="O130" s="62"/>
      <c r="P130" s="62"/>
      <c r="Q130" s="62"/>
      <c r="R130" s="62"/>
      <c r="S130" s="62"/>
    </row>
    <row r="131" spans="2:19" ht="92.25" customHeight="1" x14ac:dyDescent="0.35">
      <c r="B131" s="230"/>
      <c r="C131" s="423"/>
      <c r="D131" s="229" t="s">
        <v>1196</v>
      </c>
      <c r="E131" s="225"/>
      <c r="F131" s="268">
        <f>'PRECIO DEL METRAJE'!E135</f>
        <v>0</v>
      </c>
      <c r="G131" s="225" t="s">
        <v>1099</v>
      </c>
      <c r="H131" s="272">
        <f>'PRECIO DEL METRAJE'!K135</f>
        <v>136</v>
      </c>
      <c r="I131" s="272">
        <f t="shared" si="6"/>
        <v>0</v>
      </c>
      <c r="J131" s="270"/>
      <c r="K131" s="280"/>
      <c r="M131" s="62" t="str">
        <f t="shared" si="5"/>
        <v>OCULTAR</v>
      </c>
      <c r="N131" s="62"/>
      <c r="O131" s="62"/>
      <c r="P131" s="62"/>
      <c r="Q131" s="62"/>
      <c r="R131" s="62"/>
      <c r="S131" s="62"/>
    </row>
    <row r="132" spans="2:19" ht="18" customHeight="1" x14ac:dyDescent="0.35">
      <c r="B132" s="230"/>
      <c r="C132" s="423"/>
      <c r="D132" s="229" t="s">
        <v>1195</v>
      </c>
      <c r="E132" s="225"/>
      <c r="F132" s="268">
        <f>'PRECIO DEL METRAJE'!E136</f>
        <v>0</v>
      </c>
      <c r="G132" s="225" t="s">
        <v>1099</v>
      </c>
      <c r="H132" s="272">
        <f>'PRECIO DEL METRAJE'!K136</f>
        <v>0</v>
      </c>
      <c r="I132" s="272">
        <f t="shared" si="6"/>
        <v>0</v>
      </c>
      <c r="J132" s="270"/>
      <c r="K132" s="280"/>
      <c r="M132" s="62" t="str">
        <f t="shared" si="5"/>
        <v>OCULTAR</v>
      </c>
      <c r="N132" s="62"/>
      <c r="O132" s="62"/>
      <c r="P132" s="62"/>
      <c r="Q132" s="62"/>
      <c r="R132" s="62"/>
      <c r="S132" s="62"/>
    </row>
    <row r="133" spans="2:19" ht="83.25" customHeight="1" x14ac:dyDescent="0.35">
      <c r="B133" s="230"/>
      <c r="C133" s="423"/>
      <c r="D133" s="229" t="s">
        <v>1194</v>
      </c>
      <c r="E133" s="225"/>
      <c r="F133" s="268">
        <f>'PRECIO DEL METRAJE'!E137</f>
        <v>0</v>
      </c>
      <c r="G133" s="225" t="s">
        <v>1099</v>
      </c>
      <c r="H133" s="272">
        <f>'PRECIO DEL METRAJE'!K137</f>
        <v>241</v>
      </c>
      <c r="I133" s="272">
        <f t="shared" si="6"/>
        <v>0</v>
      </c>
      <c r="J133" s="270"/>
      <c r="K133" s="280"/>
      <c r="M133" s="62" t="str">
        <f t="shared" si="5"/>
        <v>OCULTAR</v>
      </c>
      <c r="N133" s="62"/>
      <c r="O133" s="62"/>
      <c r="P133" s="62"/>
      <c r="Q133" s="62"/>
      <c r="R133" s="62"/>
      <c r="S133" s="62"/>
    </row>
    <row r="134" spans="2:19" ht="18" customHeight="1" x14ac:dyDescent="0.35">
      <c r="B134" s="230"/>
      <c r="C134" s="423"/>
      <c r="D134" s="229" t="s">
        <v>1193</v>
      </c>
      <c r="E134" s="225"/>
      <c r="F134" s="268">
        <f>'PRECIO DEL METRAJE'!E138</f>
        <v>0</v>
      </c>
      <c r="G134" s="225" t="s">
        <v>1099</v>
      </c>
      <c r="H134" s="272">
        <f>'PRECIO DEL METRAJE'!K138</f>
        <v>0</v>
      </c>
      <c r="I134" s="272">
        <f t="shared" si="6"/>
        <v>0</v>
      </c>
      <c r="J134" s="270"/>
      <c r="K134" s="280"/>
      <c r="M134" s="62" t="str">
        <f t="shared" si="5"/>
        <v>OCULTAR</v>
      </c>
      <c r="N134" s="62"/>
      <c r="O134" s="62"/>
      <c r="P134" s="62"/>
      <c r="Q134" s="62"/>
      <c r="R134" s="62"/>
      <c r="S134" s="62"/>
    </row>
    <row r="135" spans="2:19" ht="18" customHeight="1" x14ac:dyDescent="0.35">
      <c r="B135" s="230"/>
      <c r="C135" s="423"/>
      <c r="D135" s="229" t="s">
        <v>1192</v>
      </c>
      <c r="E135" s="225"/>
      <c r="F135" s="268">
        <f>'PRECIO DEL METRAJE'!E139</f>
        <v>0</v>
      </c>
      <c r="G135" s="225" t="s">
        <v>1099</v>
      </c>
      <c r="H135" s="272">
        <f>'PRECIO DEL METRAJE'!K139</f>
        <v>340.5</v>
      </c>
      <c r="I135" s="272">
        <f t="shared" si="6"/>
        <v>0</v>
      </c>
      <c r="J135" s="270"/>
      <c r="K135" s="280"/>
      <c r="M135" s="62" t="str">
        <f t="shared" si="5"/>
        <v>OCULTAR</v>
      </c>
      <c r="N135" s="62"/>
      <c r="O135" s="62"/>
      <c r="P135" s="62"/>
      <c r="Q135" s="62"/>
      <c r="R135" s="62"/>
      <c r="S135" s="62"/>
    </row>
    <row r="136" spans="2:19" ht="78.75" customHeight="1" x14ac:dyDescent="0.35">
      <c r="B136" s="230"/>
      <c r="C136" s="423"/>
      <c r="D136" s="229" t="s">
        <v>1191</v>
      </c>
      <c r="E136" s="225"/>
      <c r="F136" s="268">
        <f>'PRECIO DEL METRAJE'!E140</f>
        <v>0</v>
      </c>
      <c r="G136" s="225" t="s">
        <v>1099</v>
      </c>
      <c r="H136" s="272">
        <f>'PRECIO DEL METRAJE'!K140</f>
        <v>0</v>
      </c>
      <c r="I136" s="272">
        <f t="shared" si="6"/>
        <v>0</v>
      </c>
      <c r="J136" s="270"/>
      <c r="K136" s="280"/>
      <c r="L136" s="61"/>
      <c r="M136" s="62" t="str">
        <f t="shared" si="5"/>
        <v>OCULTAR</v>
      </c>
      <c r="N136" s="62"/>
      <c r="O136" s="62"/>
      <c r="P136" s="62"/>
      <c r="Q136" s="62"/>
      <c r="R136" s="62"/>
      <c r="S136" s="62"/>
    </row>
    <row r="137" spans="2:19" ht="81" customHeight="1" x14ac:dyDescent="0.35">
      <c r="B137" s="230"/>
      <c r="C137" s="423"/>
      <c r="D137" s="229" t="s">
        <v>1190</v>
      </c>
      <c r="E137" s="225"/>
      <c r="F137" s="268">
        <f>'PRECIO DEL METRAJE'!E141</f>
        <v>0</v>
      </c>
      <c r="G137" s="225" t="s">
        <v>1099</v>
      </c>
      <c r="H137" s="272">
        <f>'PRECIO DEL METRAJE'!K141</f>
        <v>78.399999999999991</v>
      </c>
      <c r="I137" s="272">
        <f t="shared" si="6"/>
        <v>0</v>
      </c>
      <c r="J137" s="270"/>
      <c r="K137" s="280"/>
      <c r="M137" s="62" t="str">
        <f t="shared" si="5"/>
        <v>OCULTAR</v>
      </c>
      <c r="N137" s="62"/>
      <c r="O137" s="62"/>
      <c r="P137" s="62"/>
      <c r="Q137" s="62"/>
      <c r="R137" s="62"/>
      <c r="S137" s="62"/>
    </row>
    <row r="138" spans="2:19" ht="90.75" customHeight="1" x14ac:dyDescent="0.35">
      <c r="B138" s="230"/>
      <c r="C138" s="423"/>
      <c r="D138" s="229" t="s">
        <v>1189</v>
      </c>
      <c r="E138" s="225"/>
      <c r="F138" s="268">
        <f>'PRECIO DEL METRAJE'!E142</f>
        <v>0</v>
      </c>
      <c r="G138" s="225" t="s">
        <v>1099</v>
      </c>
      <c r="H138" s="272">
        <f>'PRECIO DEL METRAJE'!K142</f>
        <v>90.699999999999989</v>
      </c>
      <c r="I138" s="272">
        <f t="shared" si="6"/>
        <v>0</v>
      </c>
      <c r="J138" s="270"/>
      <c r="K138" s="280"/>
      <c r="M138" s="62" t="str">
        <f t="shared" si="5"/>
        <v>OCULTAR</v>
      </c>
      <c r="N138" s="62"/>
      <c r="O138" s="62"/>
      <c r="P138" s="62"/>
      <c r="Q138" s="62"/>
      <c r="R138" s="62"/>
      <c r="S138" s="62"/>
    </row>
    <row r="139" spans="2:19" ht="98.25" customHeight="1" x14ac:dyDescent="0.35">
      <c r="B139" s="230"/>
      <c r="C139" s="423"/>
      <c r="D139" s="229" t="s">
        <v>1188</v>
      </c>
      <c r="E139" s="225"/>
      <c r="F139" s="268">
        <f>'PRECIO DEL METRAJE'!E143</f>
        <v>0</v>
      </c>
      <c r="G139" s="225" t="s">
        <v>1099</v>
      </c>
      <c r="H139" s="272">
        <f>'PRECIO DEL METRAJE'!K143</f>
        <v>116.19999999999999</v>
      </c>
      <c r="I139" s="272">
        <f t="shared" si="6"/>
        <v>0</v>
      </c>
      <c r="J139" s="270"/>
      <c r="K139" s="280"/>
      <c r="M139" s="62" t="str">
        <f t="shared" si="5"/>
        <v>OCULTAR</v>
      </c>
      <c r="N139" s="62"/>
      <c r="O139" s="62"/>
      <c r="P139" s="62"/>
      <c r="Q139" s="62"/>
      <c r="R139" s="62"/>
      <c r="S139" s="62"/>
    </row>
    <row r="140" spans="2:19" ht="93" customHeight="1" x14ac:dyDescent="0.35">
      <c r="B140" s="230"/>
      <c r="C140" s="423"/>
      <c r="D140" s="229" t="s">
        <v>1187</v>
      </c>
      <c r="E140" s="225"/>
      <c r="F140" s="268">
        <f>'PRECIO DEL METRAJE'!E144</f>
        <v>0</v>
      </c>
      <c r="G140" s="225" t="s">
        <v>1099</v>
      </c>
      <c r="H140" s="272">
        <f>'PRECIO DEL METRAJE'!K144</f>
        <v>330</v>
      </c>
      <c r="I140" s="272">
        <f t="shared" si="6"/>
        <v>0</v>
      </c>
      <c r="J140" s="270"/>
      <c r="K140" s="280"/>
      <c r="M140" s="62" t="str">
        <f t="shared" si="5"/>
        <v>OCULTAR</v>
      </c>
      <c r="N140" s="62"/>
      <c r="O140" s="62"/>
      <c r="P140" s="62"/>
      <c r="Q140" s="62"/>
      <c r="R140" s="62"/>
      <c r="S140" s="62"/>
    </row>
    <row r="141" spans="2:19" ht="18" customHeight="1" x14ac:dyDescent="0.35">
      <c r="B141" s="230"/>
      <c r="C141" s="423"/>
      <c r="D141" s="229" t="s">
        <v>1186</v>
      </c>
      <c r="E141" s="225"/>
      <c r="F141" s="268">
        <f>'PRECIO DEL METRAJE'!E145</f>
        <v>0</v>
      </c>
      <c r="G141" s="225" t="s">
        <v>1099</v>
      </c>
      <c r="H141" s="272">
        <f>'PRECIO DEL METRAJE'!K145</f>
        <v>0</v>
      </c>
      <c r="I141" s="272">
        <f t="shared" si="6"/>
        <v>0</v>
      </c>
      <c r="J141" s="270"/>
      <c r="K141" s="280"/>
      <c r="M141" s="62" t="str">
        <f t="shared" si="5"/>
        <v>OCULTAR</v>
      </c>
      <c r="N141" s="62"/>
      <c r="O141" s="62"/>
      <c r="P141" s="62"/>
      <c r="Q141" s="62"/>
      <c r="R141" s="62"/>
      <c r="S141" s="62"/>
    </row>
    <row r="142" spans="2:19" ht="18" customHeight="1" x14ac:dyDescent="0.35">
      <c r="B142" s="230"/>
      <c r="C142" s="423"/>
      <c r="D142" s="229" t="s">
        <v>1185</v>
      </c>
      <c r="E142" s="225"/>
      <c r="F142" s="268">
        <f>'PRECIO DEL METRAJE'!E146</f>
        <v>0</v>
      </c>
      <c r="G142" s="225" t="s">
        <v>1099</v>
      </c>
      <c r="H142" s="272">
        <f>'PRECIO DEL METRAJE'!K146</f>
        <v>0</v>
      </c>
      <c r="I142" s="272">
        <f t="shared" si="6"/>
        <v>0</v>
      </c>
      <c r="J142" s="270"/>
      <c r="K142" s="280"/>
      <c r="M142" s="62" t="str">
        <f t="shared" si="5"/>
        <v>OCULTAR</v>
      </c>
      <c r="N142" s="62"/>
      <c r="O142" s="62"/>
      <c r="P142" s="62"/>
      <c r="Q142" s="62"/>
      <c r="R142" s="62"/>
      <c r="S142" s="62"/>
    </row>
    <row r="143" spans="2:19" ht="21" customHeight="1" x14ac:dyDescent="0.35">
      <c r="B143" s="230"/>
      <c r="C143" s="423"/>
      <c r="D143" s="229" t="s">
        <v>1184</v>
      </c>
      <c r="E143" s="225"/>
      <c r="F143" s="268">
        <f>'PRECIO DEL METRAJE'!E147</f>
        <v>0</v>
      </c>
      <c r="G143" s="225" t="s">
        <v>428</v>
      </c>
      <c r="H143" s="272">
        <f>'PRECIO DEL METRAJE'!K147</f>
        <v>215</v>
      </c>
      <c r="I143" s="272">
        <f t="shared" si="6"/>
        <v>0</v>
      </c>
      <c r="J143" s="270"/>
      <c r="K143" s="280"/>
      <c r="M143" s="62" t="str">
        <f t="shared" si="5"/>
        <v>OCULTAR</v>
      </c>
      <c r="N143" s="62"/>
      <c r="O143" s="62"/>
      <c r="P143" s="62"/>
      <c r="Q143" s="62"/>
      <c r="R143" s="62"/>
      <c r="S143" s="62"/>
    </row>
    <row r="144" spans="2:19" ht="48" customHeight="1" x14ac:dyDescent="0.35">
      <c r="B144" s="230"/>
      <c r="C144" s="423"/>
      <c r="D144" s="548" t="s">
        <v>1183</v>
      </c>
      <c r="E144" s="225"/>
      <c r="F144" s="268">
        <f>'PRECIO DEL METRAJE'!E148</f>
        <v>0</v>
      </c>
      <c r="G144" s="225" t="s">
        <v>1099</v>
      </c>
      <c r="H144" s="272">
        <f>'PRECIO DEL METRAJE'!K148</f>
        <v>3600</v>
      </c>
      <c r="I144" s="272">
        <f t="shared" si="6"/>
        <v>0</v>
      </c>
      <c r="J144" s="270"/>
      <c r="K144" s="280"/>
      <c r="M144" s="62" t="str">
        <f t="shared" ref="M144:M207" si="7">IF(F144&gt;0.1,"MOSTRAR","OCULTAR")</f>
        <v>OCULTAR</v>
      </c>
      <c r="N144" s="62"/>
      <c r="O144" s="62"/>
      <c r="P144" s="62"/>
      <c r="Q144" s="62"/>
      <c r="R144" s="62"/>
      <c r="S144" s="62"/>
    </row>
    <row r="145" spans="2:26" ht="48" customHeight="1" x14ac:dyDescent="0.35">
      <c r="B145" s="230"/>
      <c r="C145" s="423"/>
      <c r="D145" s="548"/>
      <c r="E145" s="225"/>
      <c r="F145" s="268"/>
      <c r="G145" s="225"/>
      <c r="H145" s="272"/>
      <c r="I145" s="272"/>
      <c r="J145" s="270"/>
      <c r="K145" s="280"/>
      <c r="M145" s="62" t="str">
        <f t="shared" si="7"/>
        <v>OCULTAR</v>
      </c>
      <c r="N145" s="62"/>
      <c r="O145" s="62"/>
      <c r="P145" s="62"/>
      <c r="Q145" s="62"/>
      <c r="R145" s="62"/>
      <c r="S145" s="62"/>
    </row>
    <row r="146" spans="2:26" ht="18" customHeight="1" x14ac:dyDescent="0.35">
      <c r="B146" s="250">
        <f>IF(K146&gt;0,B120+1,B120)</f>
        <v>2</v>
      </c>
      <c r="C146" s="261"/>
      <c r="D146" s="251" t="s">
        <v>1182</v>
      </c>
      <c r="E146" s="261"/>
      <c r="F146" s="291">
        <f>IF(J146&gt;1,1,0)</f>
        <v>0</v>
      </c>
      <c r="G146" s="261"/>
      <c r="H146" s="275"/>
      <c r="I146" s="275"/>
      <c r="J146" s="275"/>
      <c r="K146" s="253">
        <f>SUM(I148:I158)</f>
        <v>0</v>
      </c>
      <c r="M146" s="62" t="str">
        <f>IF(K146&gt;0.1,"MOSTRAR","OCULTAR")</f>
        <v>OCULTAR</v>
      </c>
      <c r="N146" s="62"/>
      <c r="O146" s="62"/>
      <c r="P146" s="62"/>
      <c r="Q146" s="62"/>
      <c r="R146" s="62"/>
      <c r="S146" s="62"/>
    </row>
    <row r="147" spans="2:26" ht="18" customHeight="1" x14ac:dyDescent="0.35">
      <c r="B147" s="230">
        <f>IF(J147&gt;0,B146+0.1,B146)</f>
        <v>2</v>
      </c>
      <c r="C147" s="258"/>
      <c r="D147" s="278" t="s">
        <v>1182</v>
      </c>
      <c r="E147" s="258"/>
      <c r="F147" s="285">
        <f>IF(J147&gt;1,1,0)</f>
        <v>0</v>
      </c>
      <c r="G147" s="258"/>
      <c r="H147" s="274"/>
      <c r="I147" s="274"/>
      <c r="J147" s="274">
        <f>SUM(I148:I152)</f>
        <v>0</v>
      </c>
      <c r="K147" s="488"/>
      <c r="M147" s="62" t="str">
        <f t="shared" ref="M147" si="8">IF(F147&gt;0.1,"MOSTRAR","OCULTAR")</f>
        <v>OCULTAR</v>
      </c>
      <c r="N147" s="62"/>
      <c r="O147" s="62"/>
      <c r="P147" s="62"/>
      <c r="Q147" s="62"/>
      <c r="R147" s="62"/>
      <c r="S147" s="62"/>
    </row>
    <row r="148" spans="2:26" ht="105.75" customHeight="1" x14ac:dyDescent="0.35">
      <c r="B148" s="230"/>
      <c r="C148" s="423"/>
      <c r="D148" s="229" t="s">
        <v>1181</v>
      </c>
      <c r="E148" s="225"/>
      <c r="F148" s="268">
        <f>'PRECIO DEL METRAJE'!E151</f>
        <v>0</v>
      </c>
      <c r="G148" s="225" t="s">
        <v>1099</v>
      </c>
      <c r="H148" s="272">
        <f>'PRECIO DEL METRAJE'!K151</f>
        <v>5907.7000000000007</v>
      </c>
      <c r="I148" s="272">
        <f>H148*F148</f>
        <v>0</v>
      </c>
      <c r="J148" s="270"/>
      <c r="K148" s="280"/>
      <c r="M148" s="62" t="str">
        <f t="shared" si="7"/>
        <v>OCULTAR</v>
      </c>
      <c r="N148" s="62"/>
      <c r="O148" s="62"/>
      <c r="P148" s="62"/>
      <c r="Q148" s="62"/>
      <c r="R148" s="62"/>
      <c r="S148" s="62"/>
    </row>
    <row r="149" spans="2:26" ht="105.75" customHeight="1" x14ac:dyDescent="0.35">
      <c r="B149" s="230"/>
      <c r="C149" s="423"/>
      <c r="D149" s="229" t="s">
        <v>1180</v>
      </c>
      <c r="E149" s="225"/>
      <c r="F149" s="268">
        <f>'PRECIO DEL METRAJE'!E152</f>
        <v>0</v>
      </c>
      <c r="G149" s="225" t="s">
        <v>1099</v>
      </c>
      <c r="H149" s="272">
        <f>'PRECIO DEL METRAJE'!K152</f>
        <v>6012.4000000000005</v>
      </c>
      <c r="I149" s="272">
        <f>H149*F149</f>
        <v>0</v>
      </c>
      <c r="J149" s="270"/>
      <c r="K149" s="280"/>
      <c r="M149" s="62" t="str">
        <f t="shared" si="7"/>
        <v>OCULTAR</v>
      </c>
      <c r="N149" s="62"/>
      <c r="O149" s="62"/>
      <c r="P149" s="62"/>
      <c r="Q149" s="62"/>
      <c r="R149" s="62"/>
      <c r="S149" s="62"/>
    </row>
    <row r="150" spans="2:26" ht="105.75" customHeight="1" x14ac:dyDescent="0.35">
      <c r="B150" s="230"/>
      <c r="C150" s="423"/>
      <c r="D150" s="229" t="s">
        <v>1179</v>
      </c>
      <c r="E150" s="225"/>
      <c r="F150" s="268">
        <f>'PRECIO DEL METRAJE'!E153</f>
        <v>0</v>
      </c>
      <c r="G150" s="225" t="s">
        <v>1099</v>
      </c>
      <c r="H150" s="272">
        <f>'PRECIO DEL METRAJE'!K153</f>
        <v>6264.7000000000007</v>
      </c>
      <c r="I150" s="272">
        <f>H150*F150</f>
        <v>0</v>
      </c>
      <c r="J150" s="270"/>
      <c r="K150" s="280"/>
      <c r="M150" s="62" t="str">
        <f t="shared" si="7"/>
        <v>OCULTAR</v>
      </c>
      <c r="N150" s="62"/>
      <c r="O150" s="62"/>
      <c r="P150" s="62"/>
      <c r="Q150" s="62"/>
      <c r="R150" s="62"/>
      <c r="S150" s="62"/>
    </row>
    <row r="151" spans="2:26" ht="105.75" customHeight="1" x14ac:dyDescent="0.35">
      <c r="B151" s="230"/>
      <c r="C151" s="423"/>
      <c r="D151" s="229" t="s">
        <v>1178</v>
      </c>
      <c r="E151" s="225"/>
      <c r="F151" s="268">
        <f>'PRECIO DEL METRAJE'!E154</f>
        <v>0</v>
      </c>
      <c r="G151" s="225" t="s">
        <v>1099</v>
      </c>
      <c r="H151" s="272">
        <f>'PRECIO DEL METRAJE'!K154</f>
        <v>6386.2000000000007</v>
      </c>
      <c r="I151" s="272">
        <f>H151*F151</f>
        <v>0</v>
      </c>
      <c r="J151" s="270"/>
      <c r="K151" s="280"/>
      <c r="M151" s="62" t="str">
        <f t="shared" si="7"/>
        <v>OCULTAR</v>
      </c>
      <c r="N151" s="62"/>
      <c r="O151" s="62"/>
      <c r="P151" s="62"/>
      <c r="Q151" s="62"/>
      <c r="R151" s="62"/>
      <c r="S151" s="62"/>
    </row>
    <row r="152" spans="2:26" ht="18" customHeight="1" x14ac:dyDescent="0.35">
      <c r="B152" s="230"/>
      <c r="C152" s="423"/>
      <c r="D152" s="229"/>
      <c r="E152" s="225"/>
      <c r="F152" s="268"/>
      <c r="G152" s="225"/>
      <c r="H152" s="272"/>
      <c r="I152" s="272"/>
      <c r="J152" s="270"/>
      <c r="K152" s="280"/>
      <c r="M152" s="62" t="str">
        <f t="shared" si="7"/>
        <v>OCULTAR</v>
      </c>
      <c r="N152" s="62"/>
      <c r="O152" s="62"/>
      <c r="P152" s="62"/>
      <c r="Q152" s="62"/>
      <c r="R152" s="62"/>
      <c r="S152" s="62"/>
    </row>
    <row r="153" spans="2:26" ht="18" customHeight="1" x14ac:dyDescent="0.35">
      <c r="B153" s="230">
        <f>IF(J153&gt;0,B147+0.1,B147)</f>
        <v>2</v>
      </c>
      <c r="C153" s="424"/>
      <c r="D153" s="262" t="s">
        <v>1175</v>
      </c>
      <c r="E153" s="286"/>
      <c r="F153" s="294">
        <f>IF(J153&gt;1,1,0)</f>
        <v>0</v>
      </c>
      <c r="G153" s="259"/>
      <c r="H153" s="277"/>
      <c r="I153" s="277"/>
      <c r="J153" s="277">
        <f>SUM(I154:I158)</f>
        <v>0</v>
      </c>
      <c r="K153" s="280"/>
      <c r="M153" s="62" t="str">
        <f>IF(J153&gt;0.1,"MOSTRAR","OCULTAR")</f>
        <v>OCULTAR</v>
      </c>
      <c r="N153" s="62"/>
      <c r="O153" s="62"/>
      <c r="P153" s="62"/>
      <c r="Q153" s="62"/>
      <c r="R153" s="62"/>
      <c r="S153" s="62"/>
      <c r="Z153" s="55">
        <f>+AA152</f>
        <v>0</v>
      </c>
    </row>
    <row r="154" spans="2:26" ht="20.25" customHeight="1" x14ac:dyDescent="0.35">
      <c r="B154" s="230"/>
      <c r="C154" s="423"/>
      <c r="D154" s="229" t="s">
        <v>1168</v>
      </c>
      <c r="E154" s="225"/>
      <c r="F154" s="268">
        <f>'PRECIO DEL METRAJE'!E157</f>
        <v>0</v>
      </c>
      <c r="G154" s="225" t="s">
        <v>1099</v>
      </c>
      <c r="H154" s="272">
        <f>'PRECIO DEL METRAJE'!K157</f>
        <v>0</v>
      </c>
      <c r="I154" s="272">
        <f>H154*F154</f>
        <v>0</v>
      </c>
      <c r="J154" s="270"/>
      <c r="K154" s="280"/>
      <c r="M154" s="62" t="str">
        <f t="shared" si="7"/>
        <v>OCULTAR</v>
      </c>
      <c r="N154" s="62"/>
      <c r="O154" s="62"/>
      <c r="P154" s="62"/>
      <c r="Q154" s="62"/>
      <c r="R154" s="62"/>
      <c r="S154" s="62"/>
    </row>
    <row r="155" spans="2:26" ht="18" customHeight="1" x14ac:dyDescent="0.35">
      <c r="B155" s="230"/>
      <c r="C155" s="423"/>
      <c r="D155" s="229" t="s">
        <v>1176</v>
      </c>
      <c r="E155" s="225"/>
      <c r="F155" s="268">
        <f>'PRECIO DEL METRAJE'!E158</f>
        <v>0</v>
      </c>
      <c r="G155" s="225" t="s">
        <v>1099</v>
      </c>
      <c r="H155" s="272">
        <f>'PRECIO DEL METRAJE'!K158</f>
        <v>0</v>
      </c>
      <c r="I155" s="272">
        <f>H155*F155</f>
        <v>0</v>
      </c>
      <c r="J155" s="270"/>
      <c r="K155" s="280"/>
      <c r="M155" s="62" t="str">
        <f t="shared" si="7"/>
        <v>OCULTAR</v>
      </c>
      <c r="N155" s="62"/>
      <c r="O155" s="62"/>
      <c r="P155" s="62"/>
      <c r="Q155" s="62"/>
      <c r="R155" s="62"/>
      <c r="S155" s="62"/>
    </row>
    <row r="156" spans="2:26" s="229" customFormat="1" ht="14.5" x14ac:dyDescent="0.3">
      <c r="B156" s="231"/>
      <c r="C156" s="423"/>
      <c r="D156" s="229" t="s">
        <v>1177</v>
      </c>
      <c r="E156" s="225"/>
      <c r="F156" s="268">
        <f>'PRECIO DEL METRAJE'!E159</f>
        <v>0</v>
      </c>
      <c r="G156" s="225" t="s">
        <v>1099</v>
      </c>
      <c r="H156" s="272">
        <f>'PRECIO DEL METRAJE'!K159</f>
        <v>353.90000000000003</v>
      </c>
      <c r="I156" s="272">
        <f>H156*F156</f>
        <v>0</v>
      </c>
      <c r="J156" s="270"/>
      <c r="K156" s="280"/>
      <c r="L156" s="224"/>
      <c r="M156" s="225" t="str">
        <f t="shared" si="7"/>
        <v>OCULTAR</v>
      </c>
      <c r="N156" s="225"/>
      <c r="O156" s="225"/>
      <c r="P156" s="225"/>
      <c r="Q156" s="225"/>
      <c r="R156" s="225"/>
      <c r="S156" s="225"/>
      <c r="T156" s="225"/>
      <c r="U156" s="225"/>
    </row>
    <row r="157" spans="2:26" ht="18" customHeight="1" x14ac:dyDescent="0.35">
      <c r="B157" s="230"/>
      <c r="C157" s="423"/>
      <c r="D157" s="229" t="s">
        <v>152</v>
      </c>
      <c r="E157" s="225"/>
      <c r="F157" s="268">
        <f>'PRECIO DEL METRAJE'!E160</f>
        <v>0</v>
      </c>
      <c r="G157" s="225" t="s">
        <v>1099</v>
      </c>
      <c r="H157" s="272">
        <f>'PRECIO DEL METRAJE'!K160</f>
        <v>995.4</v>
      </c>
      <c r="I157" s="272">
        <f>H157*F157</f>
        <v>0</v>
      </c>
      <c r="J157" s="270"/>
      <c r="K157" s="280"/>
      <c r="M157" s="62" t="str">
        <f t="shared" si="7"/>
        <v>OCULTAR</v>
      </c>
      <c r="N157" s="62"/>
      <c r="O157" s="62"/>
      <c r="P157" s="62"/>
      <c r="Q157" s="62"/>
      <c r="R157" s="62"/>
      <c r="S157" s="62"/>
    </row>
    <row r="158" spans="2:26" ht="13.5" customHeight="1" x14ac:dyDescent="0.35">
      <c r="B158" s="230"/>
      <c r="C158" s="423"/>
      <c r="D158" s="229"/>
      <c r="E158" s="225"/>
      <c r="F158" s="499">
        <f>IF(K171&gt;1,1,0)</f>
        <v>0</v>
      </c>
      <c r="G158" s="257"/>
      <c r="H158" s="272"/>
      <c r="I158" s="272"/>
      <c r="J158" s="270"/>
      <c r="K158" s="280"/>
      <c r="M158" s="62" t="str">
        <f t="shared" si="7"/>
        <v>OCULTAR</v>
      </c>
      <c r="N158" s="62"/>
      <c r="O158" s="62"/>
      <c r="P158" s="62"/>
      <c r="Q158" s="62"/>
      <c r="R158" s="62"/>
      <c r="S158" s="62"/>
    </row>
    <row r="159" spans="2:26" ht="18" customHeight="1" x14ac:dyDescent="0.35">
      <c r="B159" s="250">
        <f>IF(K159&gt;0,B146+1,B146)</f>
        <v>2</v>
      </c>
      <c r="C159" s="261"/>
      <c r="D159" s="251" t="s">
        <v>1174</v>
      </c>
      <c r="E159" s="261"/>
      <c r="F159" s="291">
        <f>IF(K159&gt;1,1,0)</f>
        <v>0</v>
      </c>
      <c r="G159" s="261"/>
      <c r="H159" s="275"/>
      <c r="I159" s="275"/>
      <c r="J159" s="292"/>
      <c r="K159" s="253">
        <f>SUM(I160:I170)</f>
        <v>0</v>
      </c>
      <c r="M159" s="62" t="str">
        <f>IF(K159&gt;0.1,"MOSTRAR","OCULTAR")</f>
        <v>OCULTAR</v>
      </c>
      <c r="N159" s="62"/>
      <c r="O159" s="62"/>
      <c r="P159" s="62"/>
      <c r="Q159" s="62"/>
      <c r="R159" s="62"/>
      <c r="S159" s="62"/>
    </row>
    <row r="160" spans="2:26" ht="13.5" customHeight="1" x14ac:dyDescent="0.35">
      <c r="B160" s="230"/>
      <c r="C160" s="423"/>
      <c r="D160" s="229"/>
      <c r="E160" s="225"/>
      <c r="F160" s="225"/>
      <c r="G160" s="225"/>
      <c r="H160" s="272"/>
      <c r="I160" s="272"/>
      <c r="J160" s="270"/>
      <c r="K160" s="280"/>
      <c r="M160" s="62" t="str">
        <f t="shared" si="7"/>
        <v>OCULTAR</v>
      </c>
      <c r="N160" s="62"/>
      <c r="O160" s="62"/>
      <c r="P160" s="62"/>
      <c r="Q160" s="62"/>
      <c r="R160" s="62"/>
      <c r="S160" s="62"/>
    </row>
    <row r="161" spans="2:23" ht="165.75" customHeight="1" x14ac:dyDescent="0.35">
      <c r="B161" s="230"/>
      <c r="C161" s="423"/>
      <c r="D161" s="229" t="s">
        <v>1172</v>
      </c>
      <c r="E161" s="225"/>
      <c r="F161" s="268">
        <f>'PRECIO DEL METRAJE'!E163</f>
        <v>0</v>
      </c>
      <c r="G161" s="225" t="s">
        <v>1099</v>
      </c>
      <c r="H161" s="272">
        <f>'PRECIO DEL METRAJE'!K163</f>
        <v>4464.7000000000007</v>
      </c>
      <c r="I161" s="272">
        <f>H161*F161</f>
        <v>0</v>
      </c>
      <c r="J161" s="270"/>
      <c r="K161" s="280"/>
      <c r="M161" s="62" t="str">
        <f t="shared" si="7"/>
        <v>OCULTAR</v>
      </c>
      <c r="N161" s="62"/>
      <c r="O161" s="62"/>
      <c r="P161" s="62"/>
      <c r="Q161" s="62"/>
      <c r="R161" s="62"/>
      <c r="S161" s="62"/>
    </row>
    <row r="162" spans="2:23" ht="138.75" customHeight="1" x14ac:dyDescent="0.35">
      <c r="B162" s="230"/>
      <c r="C162" s="423"/>
      <c r="D162" s="229" t="s">
        <v>1173</v>
      </c>
      <c r="E162" s="225"/>
      <c r="F162" s="268">
        <f>'PRECIO DEL METRAJE'!E164</f>
        <v>0</v>
      </c>
      <c r="G162" s="225" t="s">
        <v>1099</v>
      </c>
      <c r="H162" s="272">
        <f>'PRECIO DEL METRAJE'!K164</f>
        <v>5675.4000000000005</v>
      </c>
      <c r="I162" s="272">
        <f t="shared" ref="I162:I164" si="9">H162*F162</f>
        <v>0</v>
      </c>
      <c r="J162" s="270"/>
      <c r="K162" s="280"/>
      <c r="M162" s="62" t="str">
        <f t="shared" si="7"/>
        <v>OCULTAR</v>
      </c>
      <c r="N162" s="62"/>
      <c r="O162" s="62"/>
      <c r="P162" s="62"/>
      <c r="Q162" s="62"/>
      <c r="R162" s="62"/>
      <c r="S162" s="62"/>
    </row>
    <row r="163" spans="2:23" ht="139.5" customHeight="1" x14ac:dyDescent="0.35">
      <c r="B163" s="230"/>
      <c r="C163" s="423"/>
      <c r="D163" s="229" t="s">
        <v>1171</v>
      </c>
      <c r="E163" s="225"/>
      <c r="F163" s="268">
        <f>'PRECIO DEL METRAJE'!E165</f>
        <v>0</v>
      </c>
      <c r="G163" s="225" t="s">
        <v>1099</v>
      </c>
      <c r="H163" s="272">
        <f>'PRECIO DEL METRAJE'!K165</f>
        <v>5804</v>
      </c>
      <c r="I163" s="272">
        <f t="shared" si="9"/>
        <v>0</v>
      </c>
      <c r="J163" s="270"/>
      <c r="K163" s="280"/>
      <c r="M163" s="62" t="str">
        <f t="shared" si="7"/>
        <v>OCULTAR</v>
      </c>
      <c r="N163" s="62"/>
      <c r="O163" s="62"/>
      <c r="P163" s="62"/>
      <c r="Q163" s="62"/>
      <c r="R163" s="62"/>
      <c r="S163" s="62"/>
    </row>
    <row r="164" spans="2:23" ht="135.75" customHeight="1" x14ac:dyDescent="0.35">
      <c r="B164" s="230"/>
      <c r="C164" s="423"/>
      <c r="D164" s="229" t="s">
        <v>1170</v>
      </c>
      <c r="E164" s="225"/>
      <c r="F164" s="268">
        <f>'PRECIO DEL METRAJE'!E166</f>
        <v>0</v>
      </c>
      <c r="G164" s="225" t="s">
        <v>1099</v>
      </c>
      <c r="H164" s="272">
        <f>'PRECIO DEL METRAJE'!K166</f>
        <v>6240</v>
      </c>
      <c r="I164" s="272">
        <f t="shared" si="9"/>
        <v>0</v>
      </c>
      <c r="J164" s="270"/>
      <c r="K164" s="280"/>
      <c r="M164" s="62" t="str">
        <f t="shared" si="7"/>
        <v>OCULTAR</v>
      </c>
      <c r="N164" s="62"/>
      <c r="O164" s="62"/>
      <c r="P164" s="62"/>
      <c r="Q164" s="62"/>
      <c r="R164" s="62"/>
      <c r="S164" s="62"/>
    </row>
    <row r="165" spans="2:23" ht="14.25" customHeight="1" x14ac:dyDescent="0.35">
      <c r="B165" s="230"/>
      <c r="C165" s="423"/>
      <c r="D165" s="229"/>
      <c r="E165" s="225"/>
      <c r="F165" s="268"/>
      <c r="G165" s="225"/>
      <c r="H165" s="272"/>
      <c r="I165" s="272"/>
      <c r="J165" s="270"/>
      <c r="K165" s="280"/>
      <c r="M165" s="62" t="str">
        <f t="shared" si="7"/>
        <v>OCULTAR</v>
      </c>
      <c r="N165" s="62"/>
      <c r="O165" s="62"/>
      <c r="P165" s="62"/>
      <c r="Q165" s="62"/>
      <c r="R165" s="62"/>
      <c r="S165" s="62"/>
    </row>
    <row r="166" spans="2:23" ht="15" customHeight="1" x14ac:dyDescent="0.35">
      <c r="B166" s="230"/>
      <c r="C166" s="424"/>
      <c r="D166" s="262" t="s">
        <v>1166</v>
      </c>
      <c r="E166" s="286"/>
      <c r="F166" s="294">
        <f>IF(J166&gt;1,1,0)</f>
        <v>0</v>
      </c>
      <c r="G166" s="259"/>
      <c r="H166" s="277"/>
      <c r="I166" s="277"/>
      <c r="J166" s="277">
        <f>SUM(I167:I170)</f>
        <v>0</v>
      </c>
      <c r="K166" s="280"/>
      <c r="M166" s="62" t="str">
        <f>IF(J166&gt;0.1,"MOSTRAR","OCULTAR")</f>
        <v>OCULTAR</v>
      </c>
      <c r="N166" s="62"/>
      <c r="O166" s="62"/>
      <c r="P166" s="62"/>
      <c r="Q166" s="62"/>
      <c r="R166" s="62"/>
      <c r="S166" s="62"/>
    </row>
    <row r="167" spans="2:23" ht="18.75" customHeight="1" x14ac:dyDescent="0.35">
      <c r="B167" s="230"/>
      <c r="C167" s="423"/>
      <c r="D167" s="55" t="s">
        <v>1167</v>
      </c>
      <c r="E167" s="225"/>
      <c r="F167" s="268">
        <f>'PRECIO DEL METRAJE'!E169</f>
        <v>0</v>
      </c>
      <c r="G167" s="225" t="s">
        <v>1099</v>
      </c>
      <c r="H167" s="272">
        <f>'PRECIO DEL METRAJE'!K169</f>
        <v>0</v>
      </c>
      <c r="I167" s="272">
        <f>H167*F167</f>
        <v>0</v>
      </c>
      <c r="J167" s="270"/>
      <c r="K167" s="280"/>
      <c r="M167" s="62" t="str">
        <f t="shared" si="7"/>
        <v>OCULTAR</v>
      </c>
      <c r="N167" s="62"/>
      <c r="O167" s="62"/>
      <c r="P167" s="62"/>
      <c r="Q167" s="62"/>
      <c r="R167" s="62"/>
      <c r="S167" s="62"/>
    </row>
    <row r="168" spans="2:23" ht="18" customHeight="1" x14ac:dyDescent="0.35">
      <c r="B168" s="230"/>
      <c r="C168" s="423"/>
      <c r="D168" s="229" t="s">
        <v>1168</v>
      </c>
      <c r="E168" s="225"/>
      <c r="F168" s="268">
        <f>'PRECIO DEL METRAJE'!E170</f>
        <v>0</v>
      </c>
      <c r="G168" s="225" t="s">
        <v>1099</v>
      </c>
      <c r="H168" s="272">
        <f>'PRECIO DEL METRAJE'!K170</f>
        <v>0</v>
      </c>
      <c r="I168" s="272">
        <f>H168*F168</f>
        <v>0</v>
      </c>
      <c r="J168" s="270"/>
      <c r="K168" s="280"/>
      <c r="M168" s="62" t="str">
        <f t="shared" si="7"/>
        <v>OCULTAR</v>
      </c>
      <c r="N168" s="62"/>
      <c r="O168" s="62"/>
      <c r="P168" s="62"/>
      <c r="Q168" s="62"/>
      <c r="R168" s="62"/>
      <c r="S168" s="62"/>
    </row>
    <row r="169" spans="2:23" s="229" customFormat="1" ht="15" customHeight="1" x14ac:dyDescent="0.3">
      <c r="B169" s="231"/>
      <c r="C169" s="422"/>
      <c r="D169" s="229" t="s">
        <v>1169</v>
      </c>
      <c r="E169" s="225"/>
      <c r="F169" s="268">
        <f>'PRECIO DEL METRAJE'!E171</f>
        <v>0</v>
      </c>
      <c r="G169" s="225" t="s">
        <v>1099</v>
      </c>
      <c r="H169" s="272">
        <f>'PRECIO DEL METRAJE'!K171</f>
        <v>0</v>
      </c>
      <c r="I169" s="272">
        <f>H169*F169</f>
        <v>0</v>
      </c>
      <c r="J169" s="270"/>
      <c r="K169" s="280"/>
      <c r="L169" s="224"/>
      <c r="M169" s="225" t="str">
        <f t="shared" si="7"/>
        <v>OCULTAR</v>
      </c>
      <c r="N169" s="225"/>
      <c r="O169" s="225"/>
      <c r="P169" s="225"/>
      <c r="Q169" s="225"/>
      <c r="R169" s="225"/>
      <c r="S169" s="225"/>
      <c r="T169" s="225"/>
      <c r="U169" s="225"/>
    </row>
    <row r="170" spans="2:23" ht="15" customHeight="1" x14ac:dyDescent="0.35">
      <c r="B170" s="230"/>
      <c r="C170" s="423"/>
      <c r="D170" s="229"/>
      <c r="E170" s="225"/>
      <c r="F170" s="268"/>
      <c r="G170" s="257"/>
      <c r="H170" s="272"/>
      <c r="I170" s="272"/>
      <c r="J170" s="270"/>
      <c r="K170" s="280"/>
      <c r="M170" s="62" t="str">
        <f t="shared" si="7"/>
        <v>OCULTAR</v>
      </c>
      <c r="N170" s="62"/>
      <c r="O170" s="62"/>
      <c r="P170" s="62"/>
      <c r="Q170" s="62"/>
      <c r="R170" s="62"/>
      <c r="S170" s="62"/>
    </row>
    <row r="171" spans="2:23" ht="18" customHeight="1" x14ac:dyDescent="0.35">
      <c r="B171" s="250">
        <f>IF(K171&gt;0,B159+1,B159)</f>
        <v>2</v>
      </c>
      <c r="C171" s="425"/>
      <c r="D171" s="251" t="s">
        <v>1165</v>
      </c>
      <c r="E171" s="261"/>
      <c r="F171" s="291">
        <f>IF(K171&gt;1,1,0)</f>
        <v>0</v>
      </c>
      <c r="G171" s="261"/>
      <c r="H171" s="275"/>
      <c r="I171" s="275"/>
      <c r="J171" s="301">
        <f>K171</f>
        <v>0</v>
      </c>
      <c r="K171" s="253">
        <f>SUM(I172:I186)</f>
        <v>0</v>
      </c>
      <c r="M171" s="62" t="str">
        <f>IF(K171&gt;0.1,"MOSTRAR","OCULTAR")</f>
        <v>OCULTAR</v>
      </c>
      <c r="N171" s="62"/>
      <c r="O171" s="62"/>
      <c r="P171" s="62"/>
      <c r="Q171" s="62"/>
      <c r="R171" s="62"/>
      <c r="S171" s="62"/>
    </row>
    <row r="172" spans="2:23" ht="92.25" customHeight="1" x14ac:dyDescent="0.35">
      <c r="B172" s="230"/>
      <c r="C172" s="426"/>
      <c r="D172" s="235" t="s">
        <v>1163</v>
      </c>
      <c r="E172" s="225"/>
      <c r="F172" s="268">
        <f>'PRECIO DEL METRAJE'!E174</f>
        <v>0</v>
      </c>
      <c r="G172" s="225" t="s">
        <v>1099</v>
      </c>
      <c r="H172" s="272">
        <f>'PRECIO DEL METRAJE'!K174</f>
        <v>94</v>
      </c>
      <c r="I172" s="272">
        <f t="shared" ref="I172:I185" si="10">H172*F172</f>
        <v>0</v>
      </c>
      <c r="J172" s="270"/>
      <c r="K172" s="280"/>
      <c r="M172" s="62" t="str">
        <f t="shared" si="7"/>
        <v>OCULTAR</v>
      </c>
      <c r="N172" s="62"/>
      <c r="O172" s="62"/>
      <c r="P172" s="62"/>
      <c r="Q172" s="62"/>
      <c r="R172" s="62"/>
      <c r="S172" s="62"/>
    </row>
    <row r="173" spans="2:23" ht="92.25" customHeight="1" x14ac:dyDescent="0.35">
      <c r="B173" s="230"/>
      <c r="C173" s="426"/>
      <c r="D173" s="235" t="s">
        <v>1164</v>
      </c>
      <c r="E173" s="225"/>
      <c r="F173" s="268">
        <f>'PRECIO DEL METRAJE'!E175</f>
        <v>0</v>
      </c>
      <c r="G173" s="225" t="s">
        <v>1099</v>
      </c>
      <c r="H173" s="272">
        <f>'PRECIO DEL METRAJE'!K175</f>
        <v>144</v>
      </c>
      <c r="I173" s="272">
        <f t="shared" si="10"/>
        <v>0</v>
      </c>
      <c r="J173" s="270"/>
      <c r="K173" s="280"/>
      <c r="M173" s="62" t="str">
        <f t="shared" si="7"/>
        <v>OCULTAR</v>
      </c>
      <c r="N173" s="62"/>
      <c r="O173" s="62"/>
      <c r="P173" s="62"/>
      <c r="Q173" s="62"/>
      <c r="R173" s="62"/>
      <c r="S173" s="62"/>
    </row>
    <row r="174" spans="2:23" ht="92.25" customHeight="1" x14ac:dyDescent="0.35">
      <c r="B174" s="230"/>
      <c r="C174" s="426"/>
      <c r="D174" s="244" t="s">
        <v>1162</v>
      </c>
      <c r="E174" s="225"/>
      <c r="F174" s="268">
        <f>'PRECIO DEL METRAJE'!E176</f>
        <v>0</v>
      </c>
      <c r="G174" s="225" t="s">
        <v>1099</v>
      </c>
      <c r="H174" s="272">
        <f>'PRECIO DEL METRAJE'!K176</f>
        <v>218</v>
      </c>
      <c r="I174" s="272">
        <f t="shared" si="10"/>
        <v>0</v>
      </c>
      <c r="J174" s="270"/>
      <c r="K174" s="280"/>
      <c r="M174" s="62" t="str">
        <f t="shared" si="7"/>
        <v>OCULTAR</v>
      </c>
      <c r="N174" s="62"/>
      <c r="O174" s="62"/>
      <c r="P174" s="62"/>
      <c r="Q174" s="62"/>
      <c r="R174" s="62"/>
      <c r="S174" s="62"/>
    </row>
    <row r="175" spans="2:23" ht="75.75" customHeight="1" x14ac:dyDescent="0.35">
      <c r="B175" s="230"/>
      <c r="C175" s="423"/>
      <c r="D175" s="235" t="s">
        <v>1161</v>
      </c>
      <c r="E175" s="225"/>
      <c r="F175" s="268">
        <f>'PRECIO DEL METRAJE'!E177</f>
        <v>0</v>
      </c>
      <c r="G175" s="225" t="s">
        <v>1099</v>
      </c>
      <c r="H175" s="272">
        <f>'PRECIO DEL METRAJE'!K177</f>
        <v>271.60000000000002</v>
      </c>
      <c r="I175" s="272">
        <f t="shared" si="10"/>
        <v>0</v>
      </c>
      <c r="J175" s="270"/>
      <c r="K175" s="280"/>
      <c r="M175" s="62" t="str">
        <f t="shared" si="7"/>
        <v>OCULTAR</v>
      </c>
      <c r="N175" s="62"/>
      <c r="O175" s="62"/>
      <c r="P175" s="62"/>
      <c r="Q175" s="62"/>
      <c r="R175" s="62"/>
      <c r="S175" s="62"/>
    </row>
    <row r="176" spans="2:23" ht="75.75" customHeight="1" x14ac:dyDescent="0.35">
      <c r="B176" s="230"/>
      <c r="C176" s="423"/>
      <c r="D176" s="235" t="s">
        <v>1160</v>
      </c>
      <c r="E176" s="225"/>
      <c r="F176" s="268">
        <f>'PRECIO DEL METRAJE'!E178</f>
        <v>0</v>
      </c>
      <c r="G176" s="225" t="s">
        <v>1099</v>
      </c>
      <c r="H176" s="272">
        <f>'PRECIO DEL METRAJE'!K178</f>
        <v>430.8</v>
      </c>
      <c r="I176" s="272">
        <f t="shared" si="10"/>
        <v>0</v>
      </c>
      <c r="J176" s="270"/>
      <c r="K176" s="280"/>
      <c r="M176" s="62" t="str">
        <f t="shared" si="7"/>
        <v>OCULTAR</v>
      </c>
      <c r="N176" s="62"/>
      <c r="O176" s="62"/>
      <c r="P176" s="62"/>
      <c r="Q176" s="62"/>
      <c r="R176" s="62"/>
      <c r="S176" s="62"/>
    </row>
    <row r="177" spans="2:19" ht="75.75" customHeight="1" x14ac:dyDescent="0.35">
      <c r="B177" s="230"/>
      <c r="C177" s="423"/>
      <c r="D177" s="235" t="s">
        <v>1159</v>
      </c>
      <c r="E177" s="225"/>
      <c r="F177" s="268">
        <f>'PRECIO DEL METRAJE'!E179</f>
        <v>0</v>
      </c>
      <c r="G177" s="225" t="s">
        <v>1099</v>
      </c>
      <c r="H177" s="272">
        <f>'PRECIO DEL METRAJE'!K179</f>
        <v>461.6</v>
      </c>
      <c r="I177" s="272">
        <f t="shared" si="10"/>
        <v>0</v>
      </c>
      <c r="J177" s="270"/>
      <c r="K177" s="280"/>
      <c r="M177" s="62" t="str">
        <f t="shared" si="7"/>
        <v>OCULTAR</v>
      </c>
      <c r="N177" s="62"/>
      <c r="O177" s="62"/>
      <c r="P177" s="62"/>
      <c r="Q177" s="62"/>
      <c r="R177" s="62"/>
      <c r="S177" s="62"/>
    </row>
    <row r="178" spans="2:19" ht="50.25" customHeight="1" x14ac:dyDescent="0.35">
      <c r="B178" s="230"/>
      <c r="C178" s="423"/>
      <c r="D178" s="235" t="s">
        <v>1158</v>
      </c>
      <c r="E178" s="225"/>
      <c r="F178" s="268">
        <f>'PRECIO DEL METRAJE'!E180</f>
        <v>0</v>
      </c>
      <c r="G178" s="225" t="s">
        <v>1099</v>
      </c>
      <c r="H178" s="272">
        <f>'PRECIO DEL METRAJE'!K180</f>
        <v>0</v>
      </c>
      <c r="I178" s="272">
        <f t="shared" si="10"/>
        <v>0</v>
      </c>
      <c r="J178" s="270"/>
      <c r="K178" s="280"/>
      <c r="M178" s="62" t="str">
        <f t="shared" si="7"/>
        <v>OCULTAR</v>
      </c>
      <c r="N178" s="62"/>
      <c r="O178" s="62"/>
      <c r="P178" s="62"/>
      <c r="Q178" s="62"/>
      <c r="R178" s="62"/>
      <c r="S178" s="62"/>
    </row>
    <row r="179" spans="2:19" ht="29.25" customHeight="1" x14ac:dyDescent="0.35">
      <c r="B179" s="230"/>
      <c r="C179" s="640"/>
      <c r="D179" s="235" t="s">
        <v>1158</v>
      </c>
      <c r="E179" s="225"/>
      <c r="F179" s="268">
        <f>'PRECIO DEL METRAJE'!E181</f>
        <v>0</v>
      </c>
      <c r="G179" s="225" t="s">
        <v>1099</v>
      </c>
      <c r="H179" s="272">
        <f>'PRECIO DEL METRAJE'!K181</f>
        <v>0</v>
      </c>
      <c r="I179" s="272">
        <f t="shared" si="10"/>
        <v>0</v>
      </c>
      <c r="J179" s="270"/>
      <c r="K179" s="280"/>
      <c r="M179" s="62" t="str">
        <f t="shared" si="7"/>
        <v>OCULTAR</v>
      </c>
      <c r="N179" s="62"/>
      <c r="O179" s="62"/>
      <c r="P179" s="62"/>
      <c r="Q179" s="62"/>
      <c r="R179" s="62"/>
      <c r="S179" s="62"/>
    </row>
    <row r="180" spans="2:19" ht="30" customHeight="1" x14ac:dyDescent="0.35">
      <c r="B180" s="230"/>
      <c r="C180" s="640"/>
      <c r="D180" s="235" t="s">
        <v>1158</v>
      </c>
      <c r="E180" s="225"/>
      <c r="F180" s="268">
        <f>'PRECIO DEL METRAJE'!E182</f>
        <v>0</v>
      </c>
      <c r="G180" s="225" t="s">
        <v>1099</v>
      </c>
      <c r="H180" s="272">
        <f>'PRECIO DEL METRAJE'!K182</f>
        <v>0</v>
      </c>
      <c r="I180" s="272">
        <f t="shared" si="10"/>
        <v>0</v>
      </c>
      <c r="J180" s="270"/>
      <c r="K180" s="280"/>
      <c r="M180" s="62" t="str">
        <f t="shared" si="7"/>
        <v>OCULTAR</v>
      </c>
      <c r="N180" s="62"/>
      <c r="O180" s="62"/>
      <c r="P180" s="62"/>
      <c r="Q180" s="62"/>
      <c r="R180" s="62"/>
      <c r="S180" s="62"/>
    </row>
    <row r="181" spans="2:19" ht="30" customHeight="1" x14ac:dyDescent="0.35">
      <c r="B181" s="230"/>
      <c r="C181" s="640"/>
      <c r="D181" s="235" t="s">
        <v>1158</v>
      </c>
      <c r="E181" s="225"/>
      <c r="F181" s="268">
        <f>'PRECIO DEL METRAJE'!E183</f>
        <v>0</v>
      </c>
      <c r="G181" s="225" t="s">
        <v>1099</v>
      </c>
      <c r="H181" s="272">
        <f>'PRECIO DEL METRAJE'!K183</f>
        <v>0</v>
      </c>
      <c r="I181" s="272">
        <f t="shared" si="10"/>
        <v>0</v>
      </c>
      <c r="J181" s="270"/>
      <c r="K181" s="280"/>
      <c r="M181" s="62" t="str">
        <f t="shared" si="7"/>
        <v>OCULTAR</v>
      </c>
      <c r="N181" s="62"/>
      <c r="O181" s="62"/>
      <c r="P181" s="62"/>
      <c r="Q181" s="62"/>
      <c r="R181" s="62"/>
      <c r="S181" s="62"/>
    </row>
    <row r="182" spans="2:19" ht="30" customHeight="1" x14ac:dyDescent="0.35">
      <c r="B182" s="230"/>
      <c r="C182" s="640"/>
      <c r="D182" s="235" t="s">
        <v>1158</v>
      </c>
      <c r="E182" s="225"/>
      <c r="F182" s="268">
        <f>'PRECIO DEL METRAJE'!E184</f>
        <v>0</v>
      </c>
      <c r="G182" s="225" t="s">
        <v>1099</v>
      </c>
      <c r="H182" s="272">
        <f>'PRECIO DEL METRAJE'!K184</f>
        <v>0</v>
      </c>
      <c r="I182" s="272">
        <f t="shared" si="10"/>
        <v>0</v>
      </c>
      <c r="J182" s="270"/>
      <c r="K182" s="280"/>
      <c r="M182" s="62" t="str">
        <f t="shared" si="7"/>
        <v>OCULTAR</v>
      </c>
      <c r="N182" s="62"/>
      <c r="O182" s="62"/>
      <c r="P182" s="62"/>
      <c r="Q182" s="62"/>
      <c r="R182" s="62"/>
      <c r="S182" s="62"/>
    </row>
    <row r="183" spans="2:19" ht="30" customHeight="1" x14ac:dyDescent="0.35">
      <c r="B183" s="230"/>
      <c r="C183" s="640"/>
      <c r="D183" s="235" t="s">
        <v>1158</v>
      </c>
      <c r="E183" s="225"/>
      <c r="F183" s="268">
        <f>'PRECIO DEL METRAJE'!E185</f>
        <v>0</v>
      </c>
      <c r="G183" s="225" t="s">
        <v>1099</v>
      </c>
      <c r="H183" s="272">
        <f>'PRECIO DEL METRAJE'!K185</f>
        <v>0</v>
      </c>
      <c r="I183" s="272">
        <f t="shared" si="10"/>
        <v>0</v>
      </c>
      <c r="J183" s="270"/>
      <c r="K183" s="280"/>
      <c r="M183" s="62" t="str">
        <f t="shared" si="7"/>
        <v>OCULTAR</v>
      </c>
      <c r="N183" s="62"/>
      <c r="O183" s="62"/>
      <c r="P183" s="62"/>
      <c r="Q183" s="62"/>
      <c r="R183" s="62"/>
      <c r="S183" s="62"/>
    </row>
    <row r="184" spans="2:19" ht="24.75" customHeight="1" x14ac:dyDescent="0.35">
      <c r="B184" s="230"/>
      <c r="C184" s="423"/>
      <c r="D184" s="244" t="s">
        <v>1157</v>
      </c>
      <c r="E184" s="225"/>
      <c r="F184" s="268">
        <f>'PRECIO DEL METRAJE'!E187</f>
        <v>0</v>
      </c>
      <c r="G184" s="225" t="s">
        <v>1078</v>
      </c>
      <c r="H184" s="272">
        <f>'PRECIO DEL METRAJE'!K187</f>
        <v>769.30000000000007</v>
      </c>
      <c r="I184" s="272">
        <f t="shared" si="10"/>
        <v>0</v>
      </c>
      <c r="J184" s="270"/>
      <c r="K184" s="280"/>
      <c r="M184" s="62" t="str">
        <f t="shared" si="7"/>
        <v>OCULTAR</v>
      </c>
      <c r="N184" s="62"/>
      <c r="O184" s="62"/>
      <c r="P184" s="62"/>
      <c r="Q184" s="62"/>
      <c r="R184" s="62"/>
      <c r="S184" s="62"/>
    </row>
    <row r="185" spans="2:19" ht="25.5" customHeight="1" x14ac:dyDescent="0.35">
      <c r="B185" s="230"/>
      <c r="C185" s="423"/>
      <c r="D185" s="244" t="s">
        <v>1156</v>
      </c>
      <c r="E185" s="225"/>
      <c r="F185" s="268">
        <f>'PRECIO DEL METRAJE'!E188</f>
        <v>0</v>
      </c>
      <c r="G185" s="225" t="s">
        <v>1078</v>
      </c>
      <c r="H185" s="272">
        <f>'PRECIO DEL METRAJE'!K188</f>
        <v>307.70000000000005</v>
      </c>
      <c r="I185" s="272">
        <f t="shared" si="10"/>
        <v>0</v>
      </c>
      <c r="J185" s="270"/>
      <c r="K185" s="280"/>
      <c r="M185" s="62" t="str">
        <f t="shared" si="7"/>
        <v>OCULTAR</v>
      </c>
      <c r="N185" s="62"/>
      <c r="O185" s="62"/>
      <c r="P185" s="62"/>
      <c r="Q185" s="62"/>
      <c r="R185" s="62"/>
      <c r="S185" s="62"/>
    </row>
    <row r="186" spans="2:19" ht="18" customHeight="1" x14ac:dyDescent="0.35">
      <c r="B186" s="230"/>
      <c r="C186" s="423"/>
      <c r="D186" s="229"/>
      <c r="E186" s="225"/>
      <c r="F186" s="268"/>
      <c r="G186" s="257"/>
      <c r="H186" s="272"/>
      <c r="I186" s="272"/>
      <c r="J186" s="270"/>
      <c r="K186" s="280"/>
      <c r="M186" s="62" t="str">
        <f t="shared" si="7"/>
        <v>OCULTAR</v>
      </c>
      <c r="N186" s="62"/>
      <c r="O186" s="62"/>
      <c r="P186" s="62"/>
      <c r="Q186" s="62"/>
      <c r="R186" s="62"/>
      <c r="S186" s="62"/>
    </row>
    <row r="187" spans="2:19" ht="18" customHeight="1" x14ac:dyDescent="0.35">
      <c r="B187" s="250">
        <f>IF(K187&gt;0,B171+1,B171)</f>
        <v>2</v>
      </c>
      <c r="C187" s="425"/>
      <c r="D187" s="251" t="s">
        <v>1152</v>
      </c>
      <c r="E187" s="261"/>
      <c r="F187" s="291">
        <f>IF(K187&gt;1,1,0)</f>
        <v>0</v>
      </c>
      <c r="G187" s="261"/>
      <c r="H187" s="275"/>
      <c r="I187" s="275"/>
      <c r="J187" s="301">
        <f>K187</f>
        <v>0</v>
      </c>
      <c r="K187" s="253">
        <f>SUM(I188:I192)</f>
        <v>0</v>
      </c>
      <c r="L187" s="63"/>
      <c r="M187" s="62" t="str">
        <f>IF(K187&gt;0.1,"MOSTRAR","OCULTAR")</f>
        <v>OCULTAR</v>
      </c>
      <c r="N187" s="62"/>
      <c r="O187" s="62"/>
      <c r="P187" s="62"/>
      <c r="Q187" s="62"/>
      <c r="R187" s="62"/>
      <c r="S187" s="62"/>
    </row>
    <row r="188" spans="2:19" ht="18" customHeight="1" x14ac:dyDescent="0.35">
      <c r="B188" s="230"/>
      <c r="C188" s="423"/>
      <c r="D188" s="229"/>
      <c r="E188" s="225"/>
      <c r="F188" s="268"/>
      <c r="G188" s="257"/>
      <c r="H188" s="272"/>
      <c r="I188" s="272"/>
      <c r="J188" s="270"/>
      <c r="K188" s="280"/>
      <c r="M188" s="62" t="str">
        <f t="shared" si="7"/>
        <v>OCULTAR</v>
      </c>
      <c r="N188" s="62"/>
      <c r="O188" s="62"/>
      <c r="P188" s="62"/>
      <c r="Q188" s="62"/>
      <c r="R188" s="62"/>
      <c r="S188" s="62"/>
    </row>
    <row r="189" spans="2:19" ht="90" customHeight="1" x14ac:dyDescent="0.35">
      <c r="B189" s="230"/>
      <c r="C189" s="423"/>
      <c r="D189" s="244" t="s">
        <v>1153</v>
      </c>
      <c r="E189" s="225"/>
      <c r="F189" s="268">
        <f>'PRECIO DEL METRAJE'!E192</f>
        <v>0</v>
      </c>
      <c r="G189" s="225" t="s">
        <v>1099</v>
      </c>
      <c r="H189" s="272">
        <f>'PRECIO DEL METRAJE'!K192</f>
        <v>475.20000000000005</v>
      </c>
      <c r="I189" s="272">
        <f>H189*F189</f>
        <v>0</v>
      </c>
      <c r="J189" s="270"/>
      <c r="K189" s="280"/>
      <c r="M189" s="62" t="str">
        <f t="shared" si="7"/>
        <v>OCULTAR</v>
      </c>
      <c r="N189" s="62"/>
      <c r="O189" s="62"/>
      <c r="P189" s="62"/>
      <c r="Q189" s="62"/>
      <c r="R189" s="62"/>
      <c r="S189" s="62"/>
    </row>
    <row r="190" spans="2:19" ht="95.25" customHeight="1" x14ac:dyDescent="0.35">
      <c r="B190" s="230"/>
      <c r="C190" s="423"/>
      <c r="D190" s="244" t="s">
        <v>1154</v>
      </c>
      <c r="E190" s="225"/>
      <c r="F190" s="268">
        <f>'PRECIO DEL METRAJE'!E193</f>
        <v>0</v>
      </c>
      <c r="G190" s="225" t="s">
        <v>1099</v>
      </c>
      <c r="H190" s="272">
        <f>'PRECIO DEL METRAJE'!K193</f>
        <v>829.4</v>
      </c>
      <c r="I190" s="272">
        <f>H190*F190</f>
        <v>0</v>
      </c>
      <c r="J190" s="270"/>
      <c r="K190" s="280"/>
      <c r="M190" s="62" t="str">
        <f t="shared" si="7"/>
        <v>OCULTAR</v>
      </c>
      <c r="N190" s="62"/>
      <c r="O190" s="62"/>
      <c r="P190" s="62"/>
      <c r="Q190" s="62"/>
      <c r="R190" s="62"/>
      <c r="S190" s="62"/>
    </row>
    <row r="191" spans="2:19" ht="96.75" customHeight="1" x14ac:dyDescent="0.35">
      <c r="B191" s="230"/>
      <c r="C191" s="423"/>
      <c r="D191" s="244" t="s">
        <v>1155</v>
      </c>
      <c r="E191" s="225"/>
      <c r="F191" s="268">
        <f>'PRECIO DEL METRAJE'!E194</f>
        <v>0</v>
      </c>
      <c r="G191" s="225" t="s">
        <v>1099</v>
      </c>
      <c r="H191" s="272">
        <f>'PRECIO DEL METRAJE'!K194</f>
        <v>303.3</v>
      </c>
      <c r="I191" s="272">
        <f>H191*F191</f>
        <v>0</v>
      </c>
      <c r="J191" s="270"/>
      <c r="K191" s="280"/>
      <c r="M191" s="62" t="str">
        <f t="shared" si="7"/>
        <v>OCULTAR</v>
      </c>
      <c r="N191" s="62"/>
      <c r="O191" s="62"/>
      <c r="P191" s="62"/>
      <c r="Q191" s="62"/>
      <c r="R191" s="62"/>
      <c r="S191" s="62"/>
    </row>
    <row r="192" spans="2:19" ht="18" customHeight="1" x14ac:dyDescent="0.35">
      <c r="B192" s="230"/>
      <c r="C192" s="423"/>
      <c r="D192" s="229"/>
      <c r="E192" s="225"/>
      <c r="F192" s="268"/>
      <c r="G192" s="257"/>
      <c r="H192" s="272"/>
      <c r="I192" s="272"/>
      <c r="J192" s="270"/>
      <c r="K192" s="280"/>
      <c r="M192" s="62" t="str">
        <f t="shared" si="7"/>
        <v>OCULTAR</v>
      </c>
      <c r="N192" s="62"/>
      <c r="O192" s="62"/>
      <c r="P192" s="62"/>
      <c r="Q192" s="62"/>
      <c r="R192" s="62"/>
      <c r="S192" s="62"/>
    </row>
    <row r="193" spans="2:19" ht="18" customHeight="1" x14ac:dyDescent="0.35">
      <c r="B193" s="250">
        <f>IF(K193&gt;0,B187+1,B187)</f>
        <v>2</v>
      </c>
      <c r="C193" s="425"/>
      <c r="D193" s="251" t="s">
        <v>179</v>
      </c>
      <c r="E193" s="261"/>
      <c r="F193" s="291">
        <f>IF(K193&gt;1,1,0)</f>
        <v>0</v>
      </c>
      <c r="G193" s="261"/>
      <c r="H193" s="275"/>
      <c r="I193" s="275"/>
      <c r="J193" s="301">
        <f>K193</f>
        <v>0</v>
      </c>
      <c r="K193" s="253">
        <f>SUM(I194:I207)</f>
        <v>0</v>
      </c>
      <c r="L193" s="63"/>
      <c r="M193" s="62" t="str">
        <f>IF(K193&gt;0.1,"MOSTRAR","OCULTAR")</f>
        <v>OCULTAR</v>
      </c>
      <c r="N193" s="62"/>
      <c r="O193" s="62"/>
      <c r="P193" s="62"/>
      <c r="Q193" s="62"/>
      <c r="R193" s="62"/>
      <c r="S193" s="62"/>
    </row>
    <row r="194" spans="2:19" ht="18" customHeight="1" x14ac:dyDescent="0.35">
      <c r="B194" s="230"/>
      <c r="C194" s="423"/>
      <c r="D194" s="260"/>
      <c r="E194" s="257"/>
      <c r="F194" s="257"/>
      <c r="G194" s="257"/>
      <c r="H194" s="276"/>
      <c r="I194" s="276"/>
      <c r="J194" s="282"/>
      <c r="K194" s="280"/>
      <c r="L194" s="57"/>
      <c r="M194" s="62" t="str">
        <f t="shared" si="7"/>
        <v>OCULTAR</v>
      </c>
      <c r="N194" s="62"/>
      <c r="O194" s="62"/>
      <c r="P194" s="62"/>
      <c r="Q194" s="62"/>
      <c r="R194" s="62"/>
      <c r="S194" s="62"/>
    </row>
    <row r="195" spans="2:19" ht="75.75" customHeight="1" x14ac:dyDescent="0.35">
      <c r="B195" s="230"/>
      <c r="C195" s="427"/>
      <c r="D195" s="229" t="s">
        <v>1151</v>
      </c>
      <c r="E195" s="225"/>
      <c r="F195" s="268">
        <f>'PRECIO DEL METRAJE'!E198</f>
        <v>0</v>
      </c>
      <c r="G195" s="225" t="s">
        <v>1099</v>
      </c>
      <c r="H195" s="272">
        <f>'PRECIO DEL METRAJE'!K198</f>
        <v>2666.7</v>
      </c>
      <c r="I195" s="272">
        <f>H195*F195</f>
        <v>0</v>
      </c>
      <c r="J195" s="270"/>
      <c r="K195" s="280"/>
      <c r="M195" s="62" t="str">
        <f t="shared" si="7"/>
        <v>OCULTAR</v>
      </c>
      <c r="N195" s="62"/>
      <c r="O195" s="62"/>
      <c r="P195" s="62"/>
      <c r="Q195" s="62"/>
      <c r="R195" s="62"/>
      <c r="S195" s="62"/>
    </row>
    <row r="196" spans="2:19" ht="70.5" customHeight="1" x14ac:dyDescent="0.35">
      <c r="B196" s="230"/>
      <c r="C196" s="427"/>
      <c r="D196" s="229" t="s">
        <v>1150</v>
      </c>
      <c r="E196" s="225"/>
      <c r="F196" s="268">
        <f>'PRECIO DEL METRAJE'!E199</f>
        <v>0</v>
      </c>
      <c r="G196" s="225" t="s">
        <v>1099</v>
      </c>
      <c r="H196" s="272">
        <f>'PRECIO DEL METRAJE'!K199</f>
        <v>0</v>
      </c>
      <c r="I196" s="272">
        <f>H196*F196</f>
        <v>0</v>
      </c>
      <c r="J196" s="270"/>
      <c r="K196" s="280"/>
      <c r="M196" s="62" t="str">
        <f t="shared" si="7"/>
        <v>OCULTAR</v>
      </c>
      <c r="N196" s="62"/>
      <c r="O196" s="62"/>
      <c r="P196" s="62"/>
      <c r="Q196" s="62"/>
      <c r="R196" s="62"/>
      <c r="S196" s="62"/>
    </row>
    <row r="197" spans="2:19" ht="12.75" customHeight="1" x14ac:dyDescent="0.35">
      <c r="B197" s="230"/>
      <c r="C197" s="427"/>
      <c r="D197" s="229"/>
      <c r="E197" s="225"/>
      <c r="F197" s="268"/>
      <c r="G197" s="225"/>
      <c r="H197" s="272"/>
      <c r="I197" s="272"/>
      <c r="J197" s="270"/>
      <c r="K197" s="280"/>
      <c r="M197" s="62" t="str">
        <f t="shared" si="7"/>
        <v>OCULTAR</v>
      </c>
      <c r="N197" s="62"/>
      <c r="O197" s="62"/>
      <c r="P197" s="62"/>
      <c r="Q197" s="62"/>
      <c r="R197" s="62"/>
      <c r="S197" s="62"/>
    </row>
    <row r="198" spans="2:19" ht="64.5" customHeight="1" x14ac:dyDescent="0.35">
      <c r="B198" s="230"/>
      <c r="C198" s="427"/>
      <c r="D198" s="229" t="s">
        <v>1149</v>
      </c>
      <c r="E198" s="225"/>
      <c r="F198" s="268">
        <f>'PRECIO DEL METRAJE'!E201</f>
        <v>0</v>
      </c>
      <c r="G198" s="225" t="s">
        <v>1099</v>
      </c>
      <c r="H198" s="272">
        <f>'PRECIO DEL METRAJE'!K201</f>
        <v>3560</v>
      </c>
      <c r="I198" s="272">
        <f>H198*F198</f>
        <v>0</v>
      </c>
      <c r="J198" s="270"/>
      <c r="K198" s="280"/>
      <c r="M198" s="62" t="str">
        <f t="shared" si="7"/>
        <v>OCULTAR</v>
      </c>
      <c r="N198" s="62"/>
      <c r="O198" s="62"/>
      <c r="P198" s="62"/>
      <c r="Q198" s="62"/>
      <c r="R198" s="62"/>
      <c r="S198" s="62"/>
    </row>
    <row r="199" spans="2:19" ht="69.75" customHeight="1" x14ac:dyDescent="0.35">
      <c r="B199" s="230"/>
      <c r="C199" s="427"/>
      <c r="D199" s="229" t="s">
        <v>1148</v>
      </c>
      <c r="E199" s="225"/>
      <c r="F199" s="268">
        <f>'PRECIO DEL METRAJE'!E202</f>
        <v>0</v>
      </c>
      <c r="G199" s="225" t="s">
        <v>1099</v>
      </c>
      <c r="H199" s="272">
        <f>'PRECIO DEL METRAJE'!K202</f>
        <v>3750</v>
      </c>
      <c r="I199" s="272">
        <f>H199*F199</f>
        <v>0</v>
      </c>
      <c r="J199" s="270"/>
      <c r="K199" s="280"/>
      <c r="M199" s="62" t="str">
        <f t="shared" si="7"/>
        <v>OCULTAR</v>
      </c>
      <c r="N199" s="62"/>
      <c r="O199" s="62"/>
      <c r="P199" s="62"/>
      <c r="Q199" s="62"/>
      <c r="R199" s="62"/>
      <c r="S199" s="62"/>
    </row>
    <row r="200" spans="2:19" ht="18" customHeight="1" x14ac:dyDescent="0.35">
      <c r="B200" s="230"/>
      <c r="C200" s="427"/>
      <c r="D200" s="229"/>
      <c r="E200" s="225"/>
      <c r="F200" s="268"/>
      <c r="G200" s="225"/>
      <c r="H200" s="272"/>
      <c r="I200" s="272"/>
      <c r="J200" s="270"/>
      <c r="K200" s="280"/>
      <c r="M200" s="62" t="str">
        <f t="shared" si="7"/>
        <v>OCULTAR</v>
      </c>
      <c r="N200" s="62"/>
      <c r="O200" s="62"/>
      <c r="P200" s="62"/>
      <c r="Q200" s="62"/>
      <c r="R200" s="62"/>
      <c r="S200" s="62"/>
    </row>
    <row r="201" spans="2:19" ht="18" customHeight="1" x14ac:dyDescent="0.35">
      <c r="B201" s="230"/>
      <c r="C201" s="428"/>
      <c r="D201" s="229" t="s">
        <v>1147</v>
      </c>
      <c r="E201" s="225"/>
      <c r="F201" s="268">
        <f>'PRECIO DEL METRAJE'!E204</f>
        <v>0</v>
      </c>
      <c r="G201" s="225" t="s">
        <v>1099</v>
      </c>
      <c r="H201" s="272">
        <f>'PRECIO DEL METRAJE'!K204</f>
        <v>0</v>
      </c>
      <c r="I201" s="272">
        <f t="shared" ref="I201:I202" si="11">H201*F201</f>
        <v>0</v>
      </c>
      <c r="J201" s="270"/>
      <c r="K201" s="280"/>
      <c r="M201" s="62" t="str">
        <f t="shared" si="7"/>
        <v>OCULTAR</v>
      </c>
      <c r="N201" s="62"/>
      <c r="O201" s="62"/>
      <c r="P201" s="62"/>
      <c r="Q201" s="62"/>
      <c r="R201" s="62"/>
      <c r="S201" s="62"/>
    </row>
    <row r="202" spans="2:19" ht="136.5" customHeight="1" x14ac:dyDescent="0.35">
      <c r="B202" s="230"/>
      <c r="C202" s="427"/>
      <c r="D202" s="229" t="s">
        <v>1146</v>
      </c>
      <c r="E202" s="225"/>
      <c r="F202" s="268">
        <f>'PRECIO DEL METRAJE'!E205</f>
        <v>0</v>
      </c>
      <c r="G202" s="225" t="s">
        <v>1099</v>
      </c>
      <c r="H202" s="272">
        <f>'PRECIO DEL METRAJE'!K205</f>
        <v>0</v>
      </c>
      <c r="I202" s="272">
        <f t="shared" si="11"/>
        <v>0</v>
      </c>
      <c r="J202" s="270"/>
      <c r="K202" s="280"/>
      <c r="M202" s="62" t="str">
        <f t="shared" si="7"/>
        <v>OCULTAR</v>
      </c>
      <c r="N202" s="62"/>
      <c r="O202" s="62"/>
      <c r="P202" s="62"/>
      <c r="Q202" s="62"/>
      <c r="R202" s="62"/>
      <c r="S202" s="62"/>
    </row>
    <row r="203" spans="2:19" ht="18" customHeight="1" x14ac:dyDescent="0.35">
      <c r="B203" s="230"/>
      <c r="C203" s="423"/>
      <c r="D203" s="229"/>
      <c r="E203" s="225"/>
      <c r="F203" s="268"/>
      <c r="G203" s="225"/>
      <c r="H203" s="272"/>
      <c r="I203" s="272"/>
      <c r="J203" s="270"/>
      <c r="K203" s="280"/>
      <c r="M203" s="62" t="str">
        <f t="shared" si="7"/>
        <v>OCULTAR</v>
      </c>
      <c r="N203" s="62"/>
      <c r="O203" s="62"/>
      <c r="P203" s="62"/>
      <c r="Q203" s="62"/>
      <c r="R203" s="62"/>
      <c r="S203" s="62"/>
    </row>
    <row r="204" spans="2:19" ht="18" customHeight="1" x14ac:dyDescent="0.35">
      <c r="B204" s="230"/>
      <c r="C204" s="423"/>
      <c r="D204" s="229" t="s">
        <v>1143</v>
      </c>
      <c r="E204" s="225"/>
      <c r="F204" s="268">
        <f>'PRECIO DEL METRAJE'!E207</f>
        <v>0</v>
      </c>
      <c r="G204" s="225" t="s">
        <v>1099</v>
      </c>
      <c r="H204" s="272">
        <f>'PRECIO DEL METRAJE'!K207</f>
        <v>0</v>
      </c>
      <c r="I204" s="272">
        <f>H204*F204</f>
        <v>0</v>
      </c>
      <c r="J204" s="270"/>
      <c r="K204" s="280"/>
      <c r="M204" s="62" t="str">
        <f t="shared" si="7"/>
        <v>OCULTAR</v>
      </c>
      <c r="N204" s="62"/>
      <c r="O204" s="62"/>
      <c r="P204" s="62"/>
      <c r="Q204" s="62"/>
      <c r="R204" s="62"/>
      <c r="S204" s="62"/>
    </row>
    <row r="205" spans="2:19" ht="18" customHeight="1" x14ac:dyDescent="0.35">
      <c r="B205" s="230"/>
      <c r="C205" s="423"/>
      <c r="D205" s="229" t="s">
        <v>1144</v>
      </c>
      <c r="E205" s="225"/>
      <c r="F205" s="268">
        <f>'PRECIO DEL METRAJE'!E208</f>
        <v>0</v>
      </c>
      <c r="G205" s="225" t="s">
        <v>1099</v>
      </c>
      <c r="H205" s="272">
        <f>'PRECIO DEL METRAJE'!K208</f>
        <v>0</v>
      </c>
      <c r="I205" s="272">
        <f>H205*F205</f>
        <v>0</v>
      </c>
      <c r="J205" s="270"/>
      <c r="K205" s="280"/>
      <c r="M205" s="62" t="str">
        <f t="shared" si="7"/>
        <v>OCULTAR</v>
      </c>
      <c r="N205" s="62"/>
      <c r="O205" s="62"/>
      <c r="P205" s="62"/>
      <c r="Q205" s="62"/>
      <c r="R205" s="62"/>
      <c r="S205" s="62"/>
    </row>
    <row r="206" spans="2:19" ht="18" customHeight="1" x14ac:dyDescent="0.35">
      <c r="B206" s="230"/>
      <c r="C206" s="423"/>
      <c r="D206" s="229" t="s">
        <v>1145</v>
      </c>
      <c r="E206" s="225"/>
      <c r="F206" s="268">
        <f>'PRECIO DEL METRAJE'!E209</f>
        <v>0</v>
      </c>
      <c r="G206" s="225" t="s">
        <v>1099</v>
      </c>
      <c r="H206" s="272">
        <f>'PRECIO DEL METRAJE'!K209</f>
        <v>131</v>
      </c>
      <c r="I206" s="272">
        <f>H206*F206</f>
        <v>0</v>
      </c>
      <c r="J206" s="270"/>
      <c r="K206" s="280"/>
      <c r="M206" s="62" t="str">
        <f t="shared" si="7"/>
        <v>OCULTAR</v>
      </c>
      <c r="N206" s="62"/>
      <c r="O206" s="62"/>
      <c r="P206" s="62"/>
      <c r="Q206" s="62"/>
      <c r="R206" s="62"/>
      <c r="S206" s="62"/>
    </row>
    <row r="207" spans="2:19" ht="18" customHeight="1" x14ac:dyDescent="0.35">
      <c r="B207" s="230"/>
      <c r="C207" s="423"/>
      <c r="D207" s="229"/>
      <c r="E207" s="225"/>
      <c r="F207" s="268"/>
      <c r="G207" s="257"/>
      <c r="H207" s="272"/>
      <c r="I207" s="272"/>
      <c r="J207" s="270"/>
      <c r="K207" s="280"/>
      <c r="M207" s="62" t="str">
        <f t="shared" si="7"/>
        <v>OCULTAR</v>
      </c>
      <c r="N207" s="62"/>
      <c r="O207" s="62"/>
      <c r="P207" s="62"/>
      <c r="Q207" s="62"/>
      <c r="R207" s="62"/>
      <c r="S207" s="62"/>
    </row>
    <row r="208" spans="2:19" ht="18" customHeight="1" x14ac:dyDescent="0.35">
      <c r="B208" s="250">
        <f>IF(K208&gt;0,B193+1,B193)</f>
        <v>2</v>
      </c>
      <c r="C208" s="425"/>
      <c r="D208" s="251" t="s">
        <v>1142</v>
      </c>
      <c r="E208" s="261"/>
      <c r="F208" s="291">
        <f>IF(K208&gt;1,1,0)</f>
        <v>0</v>
      </c>
      <c r="G208" s="261"/>
      <c r="H208" s="275"/>
      <c r="I208" s="275"/>
      <c r="J208" s="301">
        <f>K208</f>
        <v>0</v>
      </c>
      <c r="K208" s="253">
        <f>SUM(I209:I219)</f>
        <v>0</v>
      </c>
      <c r="L208" s="63"/>
      <c r="M208" s="62" t="str">
        <f>IF(K208&gt;0.1,"MOSTRAR","OCULTAR")</f>
        <v>OCULTAR</v>
      </c>
      <c r="N208" s="62"/>
      <c r="O208" s="62"/>
      <c r="P208" s="62"/>
      <c r="Q208" s="62"/>
      <c r="R208" s="62"/>
      <c r="S208" s="62"/>
    </row>
    <row r="209" spans="2:19" ht="18" customHeight="1" x14ac:dyDescent="0.35">
      <c r="B209" s="230"/>
      <c r="C209" s="423"/>
      <c r="D209" s="260"/>
      <c r="E209" s="257"/>
      <c r="F209" s="257"/>
      <c r="G209" s="257"/>
      <c r="H209" s="276"/>
      <c r="I209" s="276"/>
      <c r="J209" s="282"/>
      <c r="K209" s="280"/>
      <c r="L209" s="57"/>
      <c r="M209" s="62" t="str">
        <f t="shared" ref="M209:M242" si="12">IF(F209&gt;0.1,"MOSTRAR","OCULTAR")</f>
        <v>OCULTAR</v>
      </c>
      <c r="N209" s="62"/>
      <c r="O209" s="62"/>
      <c r="P209" s="62"/>
      <c r="Q209" s="62"/>
      <c r="R209" s="62"/>
      <c r="S209" s="62"/>
    </row>
    <row r="210" spans="2:19" ht="63.75" customHeight="1" x14ac:dyDescent="0.35">
      <c r="B210" s="230"/>
      <c r="C210" s="423"/>
      <c r="D210" s="229" t="s">
        <v>1135</v>
      </c>
      <c r="E210" s="225"/>
      <c r="F210" s="268">
        <f>'PRECIO DEL METRAJE'!E213</f>
        <v>0</v>
      </c>
      <c r="G210" s="225" t="s">
        <v>1099</v>
      </c>
      <c r="H210" s="272">
        <f>'PRECIO DEL METRAJE'!K213</f>
        <v>293.40000000000003</v>
      </c>
      <c r="I210" s="272">
        <f t="shared" ref="I210:I218" si="13">H210*F210</f>
        <v>0</v>
      </c>
      <c r="J210" s="270"/>
      <c r="K210" s="280"/>
      <c r="M210" s="62" t="str">
        <f t="shared" si="12"/>
        <v>OCULTAR</v>
      </c>
      <c r="N210" s="62"/>
      <c r="O210" s="62"/>
      <c r="P210" s="62"/>
      <c r="Q210" s="62"/>
      <c r="R210" s="62"/>
      <c r="S210" s="62"/>
    </row>
    <row r="211" spans="2:19" ht="52.5" customHeight="1" x14ac:dyDescent="0.35">
      <c r="B211" s="230"/>
      <c r="C211" s="423"/>
      <c r="D211" s="229" t="s">
        <v>1136</v>
      </c>
      <c r="E211" s="225"/>
      <c r="F211" s="268">
        <f>'PRECIO DEL METRAJE'!E214</f>
        <v>0</v>
      </c>
      <c r="G211" s="225" t="s">
        <v>1099</v>
      </c>
      <c r="H211" s="272">
        <f>'PRECIO DEL METRAJE'!K214</f>
        <v>235</v>
      </c>
      <c r="I211" s="272">
        <f t="shared" si="13"/>
        <v>0</v>
      </c>
      <c r="J211" s="270"/>
      <c r="K211" s="280"/>
      <c r="M211" s="62" t="str">
        <f t="shared" si="12"/>
        <v>OCULTAR</v>
      </c>
      <c r="N211" s="62"/>
      <c r="O211" s="62"/>
      <c r="P211" s="62"/>
      <c r="Q211" s="62"/>
      <c r="R211" s="62"/>
      <c r="S211" s="62"/>
    </row>
    <row r="212" spans="2:19" ht="71.25" customHeight="1" x14ac:dyDescent="0.35">
      <c r="B212" s="230"/>
      <c r="C212" s="423"/>
      <c r="D212" s="229" t="s">
        <v>1137</v>
      </c>
      <c r="E212" s="225"/>
      <c r="F212" s="268">
        <f>'PRECIO DEL METRAJE'!E215</f>
        <v>0</v>
      </c>
      <c r="G212" s="225" t="s">
        <v>1099</v>
      </c>
      <c r="H212" s="272">
        <f>'PRECIO DEL METRAJE'!K215</f>
        <v>162.5</v>
      </c>
      <c r="I212" s="272">
        <f t="shared" si="13"/>
        <v>0</v>
      </c>
      <c r="J212" s="270"/>
      <c r="K212" s="280"/>
      <c r="M212" s="62" t="str">
        <f t="shared" si="12"/>
        <v>OCULTAR</v>
      </c>
      <c r="N212" s="62"/>
      <c r="O212" s="62"/>
      <c r="P212" s="62"/>
      <c r="Q212" s="62"/>
      <c r="R212" s="62"/>
      <c r="S212" s="62"/>
    </row>
    <row r="213" spans="2:19" ht="45.75" customHeight="1" x14ac:dyDescent="0.35">
      <c r="B213" s="230"/>
      <c r="C213" s="423"/>
      <c r="D213" s="229" t="s">
        <v>1138</v>
      </c>
      <c r="E213" s="225"/>
      <c r="F213" s="268">
        <f>'PRECIO DEL METRAJE'!E216</f>
        <v>0</v>
      </c>
      <c r="G213" s="225" t="s">
        <v>1099</v>
      </c>
      <c r="H213" s="272">
        <f>'PRECIO DEL METRAJE'!K216</f>
        <v>105.5</v>
      </c>
      <c r="I213" s="272">
        <f t="shared" si="13"/>
        <v>0</v>
      </c>
      <c r="J213" s="270"/>
      <c r="K213" s="280"/>
      <c r="M213" s="62" t="str">
        <f t="shared" si="12"/>
        <v>OCULTAR</v>
      </c>
      <c r="N213" s="62"/>
      <c r="O213" s="62"/>
      <c r="P213" s="62"/>
      <c r="Q213" s="62"/>
      <c r="R213" s="62"/>
      <c r="S213" s="62"/>
    </row>
    <row r="214" spans="2:19" ht="76.5" customHeight="1" x14ac:dyDescent="0.35">
      <c r="B214" s="230"/>
      <c r="C214" s="423"/>
      <c r="D214" s="229" t="s">
        <v>1139</v>
      </c>
      <c r="E214" s="225"/>
      <c r="F214" s="268">
        <f>'PRECIO DEL METRAJE'!E217</f>
        <v>0</v>
      </c>
      <c r="G214" s="225" t="s">
        <v>1099</v>
      </c>
      <c r="H214" s="272">
        <f>'PRECIO DEL METRAJE'!K217</f>
        <v>77.5</v>
      </c>
      <c r="I214" s="272">
        <f t="shared" si="13"/>
        <v>0</v>
      </c>
      <c r="J214" s="270"/>
      <c r="K214" s="280"/>
      <c r="M214" s="62" t="str">
        <f t="shared" si="12"/>
        <v>OCULTAR</v>
      </c>
      <c r="N214" s="62"/>
      <c r="O214" s="62"/>
      <c r="P214" s="62"/>
      <c r="Q214" s="62"/>
      <c r="R214" s="62"/>
      <c r="S214" s="62"/>
    </row>
    <row r="215" spans="2:19" ht="77.25" customHeight="1" x14ac:dyDescent="0.35">
      <c r="B215" s="230"/>
      <c r="C215" s="423"/>
      <c r="D215" s="229" t="s">
        <v>1140</v>
      </c>
      <c r="E215" s="225"/>
      <c r="F215" s="268">
        <f>'PRECIO DEL METRAJE'!E218</f>
        <v>0</v>
      </c>
      <c r="G215" s="225" t="s">
        <v>1099</v>
      </c>
      <c r="H215" s="272">
        <f>'PRECIO DEL METRAJE'!K218</f>
        <v>42.5</v>
      </c>
      <c r="I215" s="272">
        <f t="shared" si="13"/>
        <v>0</v>
      </c>
      <c r="J215" s="270"/>
      <c r="K215" s="280"/>
      <c r="M215" s="62" t="str">
        <f t="shared" si="12"/>
        <v>OCULTAR</v>
      </c>
      <c r="N215" s="62"/>
      <c r="O215" s="62"/>
      <c r="P215" s="62"/>
      <c r="Q215" s="62"/>
      <c r="R215" s="62"/>
      <c r="S215" s="62"/>
    </row>
    <row r="216" spans="2:19" ht="81.650000000000006" customHeight="1" x14ac:dyDescent="0.35">
      <c r="B216" s="230"/>
      <c r="C216" s="423"/>
      <c r="D216" s="229" t="s">
        <v>1141</v>
      </c>
      <c r="E216" s="225"/>
      <c r="F216" s="268">
        <f>'PRECIO DEL METRAJE'!E219</f>
        <v>0</v>
      </c>
      <c r="G216" s="225" t="s">
        <v>1099</v>
      </c>
      <c r="H216" s="272">
        <f>'PRECIO DEL METRAJE'!K219</f>
        <v>853.4</v>
      </c>
      <c r="I216" s="272">
        <f t="shared" si="13"/>
        <v>0</v>
      </c>
      <c r="J216" s="270"/>
      <c r="K216" s="280"/>
      <c r="M216" s="62" t="str">
        <f t="shared" si="12"/>
        <v>OCULTAR</v>
      </c>
      <c r="N216" s="62"/>
      <c r="O216" s="62"/>
      <c r="P216" s="62"/>
      <c r="Q216" s="62"/>
      <c r="R216" s="62"/>
      <c r="S216" s="62"/>
    </row>
    <row r="217" spans="2:19" ht="74.5" customHeight="1" x14ac:dyDescent="0.35">
      <c r="B217" s="230"/>
      <c r="C217" s="423"/>
      <c r="D217" s="229" t="s">
        <v>1134</v>
      </c>
      <c r="E217" s="225"/>
      <c r="F217" s="268">
        <f>'PRECIO DEL METRAJE'!E220</f>
        <v>0</v>
      </c>
      <c r="G217" s="225" t="s">
        <v>1099</v>
      </c>
      <c r="H217" s="272">
        <f>'PRECIO DEL METRAJE'!K220</f>
        <v>1291.6999999999998</v>
      </c>
      <c r="I217" s="272">
        <f t="shared" si="13"/>
        <v>0</v>
      </c>
      <c r="J217" s="270"/>
      <c r="K217" s="280"/>
      <c r="M217" s="62" t="str">
        <f t="shared" si="12"/>
        <v>OCULTAR</v>
      </c>
      <c r="N217" s="62"/>
      <c r="O217" s="62"/>
      <c r="P217" s="62"/>
      <c r="Q217" s="62"/>
      <c r="R217" s="62"/>
      <c r="S217" s="62"/>
    </row>
    <row r="218" spans="2:19" ht="18" customHeight="1" x14ac:dyDescent="0.35">
      <c r="B218" s="230"/>
      <c r="C218" s="423"/>
      <c r="D218" s="229" t="s">
        <v>1133</v>
      </c>
      <c r="E218" s="225"/>
      <c r="F218" s="268">
        <f>'PRECIO DEL METRAJE'!E221</f>
        <v>0</v>
      </c>
      <c r="G218" s="225" t="s">
        <v>1099</v>
      </c>
      <c r="H218" s="272">
        <f>'PRECIO DEL METRAJE'!K221</f>
        <v>333.40000000000003</v>
      </c>
      <c r="I218" s="272">
        <f t="shared" si="13"/>
        <v>0</v>
      </c>
      <c r="J218" s="270"/>
      <c r="K218" s="280"/>
      <c r="M218" s="62" t="str">
        <f t="shared" si="12"/>
        <v>OCULTAR</v>
      </c>
      <c r="N218" s="62"/>
      <c r="O218" s="62"/>
      <c r="P218" s="62"/>
      <c r="Q218" s="62"/>
      <c r="R218" s="62"/>
      <c r="S218" s="62"/>
    </row>
    <row r="219" spans="2:19" ht="18" customHeight="1" x14ac:dyDescent="0.35">
      <c r="B219" s="230"/>
      <c r="C219" s="423"/>
      <c r="D219" s="229"/>
      <c r="E219" s="225"/>
      <c r="F219" s="257">
        <f>IF(K220&gt;1,1,0)</f>
        <v>0</v>
      </c>
      <c r="G219" s="257"/>
      <c r="H219" s="272"/>
      <c r="I219" s="272"/>
      <c r="J219" s="270"/>
      <c r="K219" s="280"/>
      <c r="M219" s="62" t="str">
        <f t="shared" si="12"/>
        <v>OCULTAR</v>
      </c>
      <c r="N219" s="62"/>
      <c r="O219" s="62"/>
      <c r="P219" s="62"/>
      <c r="Q219" s="62"/>
      <c r="R219" s="62"/>
      <c r="S219" s="62"/>
    </row>
    <row r="220" spans="2:19" ht="18" customHeight="1" x14ac:dyDescent="0.35">
      <c r="B220" s="250">
        <f>IF(K220&gt;0,B208+1,B208)</f>
        <v>2</v>
      </c>
      <c r="C220" s="425"/>
      <c r="D220" s="251" t="s">
        <v>743</v>
      </c>
      <c r="E220" s="261"/>
      <c r="F220" s="291">
        <f>IF(K220&gt;1,1,0)</f>
        <v>0</v>
      </c>
      <c r="G220" s="261"/>
      <c r="H220" s="275"/>
      <c r="I220" s="275"/>
      <c r="J220" s="301">
        <f>K220</f>
        <v>0</v>
      </c>
      <c r="K220" s="253">
        <f>SUM(I221:I229)</f>
        <v>0</v>
      </c>
      <c r="L220" s="63"/>
      <c r="M220" s="62" t="str">
        <f>IF(K220&gt;0.1,"MOSTRAR","OCULTAR")</f>
        <v>OCULTAR</v>
      </c>
      <c r="N220" s="62"/>
      <c r="O220" s="62"/>
      <c r="P220" s="62"/>
      <c r="Q220" s="62"/>
      <c r="R220" s="62"/>
      <c r="S220" s="62"/>
    </row>
    <row r="221" spans="2:19" ht="12" customHeight="1" x14ac:dyDescent="0.35">
      <c r="B221" s="230"/>
      <c r="C221" s="423"/>
      <c r="D221" s="260"/>
      <c r="E221" s="257"/>
      <c r="F221" s="257"/>
      <c r="G221" s="257"/>
      <c r="H221" s="276"/>
      <c r="I221" s="276"/>
      <c r="J221" s="282"/>
      <c r="K221" s="280"/>
      <c r="L221" s="57"/>
      <c r="M221" s="62" t="str">
        <f t="shared" si="12"/>
        <v>OCULTAR</v>
      </c>
      <c r="N221" s="62"/>
      <c r="O221" s="62"/>
      <c r="P221" s="62"/>
      <c r="Q221" s="62"/>
      <c r="R221" s="62"/>
      <c r="S221" s="62"/>
    </row>
    <row r="222" spans="2:19" ht="57.75" customHeight="1" x14ac:dyDescent="0.35">
      <c r="B222" s="230"/>
      <c r="C222" s="423"/>
      <c r="D222" s="548" t="s">
        <v>1217</v>
      </c>
      <c r="E222" s="225"/>
      <c r="F222" s="268">
        <f>'PRECIO DEL METRAJE'!E225</f>
        <v>0</v>
      </c>
      <c r="G222" s="225" t="s">
        <v>215</v>
      </c>
      <c r="H222" s="272">
        <f>'PRECIO DEL METRAJE'!K225</f>
        <v>227.7</v>
      </c>
      <c r="I222" s="272">
        <f>H222*F222</f>
        <v>0</v>
      </c>
      <c r="J222" s="270"/>
      <c r="K222" s="280"/>
      <c r="M222" s="62" t="str">
        <f t="shared" si="12"/>
        <v>OCULTAR</v>
      </c>
      <c r="N222" s="62"/>
      <c r="O222" s="62"/>
      <c r="P222" s="62"/>
      <c r="Q222" s="62"/>
      <c r="R222" s="62"/>
      <c r="S222" s="62"/>
    </row>
    <row r="223" spans="2:19" ht="78.75" customHeight="1" x14ac:dyDescent="0.35">
      <c r="B223" s="230"/>
      <c r="C223" s="423"/>
      <c r="D223" s="235" t="s">
        <v>1218</v>
      </c>
      <c r="E223" s="225"/>
      <c r="F223" s="268">
        <f>'PRECIO DEL METRAJE'!E226</f>
        <v>0</v>
      </c>
      <c r="G223" s="225" t="s">
        <v>215</v>
      </c>
      <c r="H223" s="272">
        <f>'PRECIO DEL METRAJE'!K226</f>
        <v>43.2</v>
      </c>
      <c r="I223" s="272">
        <f>H223*F223</f>
        <v>0</v>
      </c>
      <c r="J223" s="270"/>
      <c r="K223" s="280"/>
      <c r="M223" s="62" t="str">
        <f t="shared" si="12"/>
        <v>OCULTAR</v>
      </c>
      <c r="N223" s="62"/>
      <c r="O223" s="62"/>
      <c r="P223" s="62"/>
      <c r="Q223" s="62"/>
      <c r="R223" s="62"/>
      <c r="S223" s="62"/>
    </row>
    <row r="224" spans="2:19" ht="15" customHeight="1" x14ac:dyDescent="0.35">
      <c r="B224" s="230"/>
      <c r="C224" s="423"/>
      <c r="D224" s="229" t="s">
        <v>1132</v>
      </c>
      <c r="E224" s="225"/>
      <c r="F224" s="268">
        <f>'PRECIO DEL METRAJE'!E227</f>
        <v>0</v>
      </c>
      <c r="G224" s="225" t="s">
        <v>1099</v>
      </c>
      <c r="H224" s="272">
        <f>'PRECIO DEL METRAJE'!K227</f>
        <v>0</v>
      </c>
      <c r="I224" s="272">
        <f t="shared" ref="I224:I227" si="14">H224*F224</f>
        <v>0</v>
      </c>
      <c r="J224" s="270"/>
      <c r="K224" s="280"/>
      <c r="M224" s="62" t="str">
        <f t="shared" si="12"/>
        <v>OCULTAR</v>
      </c>
      <c r="N224" s="62"/>
      <c r="O224" s="62"/>
      <c r="P224" s="62"/>
      <c r="Q224" s="62"/>
      <c r="R224" s="62"/>
      <c r="S224" s="62"/>
    </row>
    <row r="225" spans="2:19" ht="18" customHeight="1" x14ac:dyDescent="0.35">
      <c r="B225" s="230"/>
      <c r="C225" s="423"/>
      <c r="D225" s="229" t="s">
        <v>1131</v>
      </c>
      <c r="E225" s="225"/>
      <c r="F225" s="268">
        <f>'PRECIO DEL METRAJE'!E228</f>
        <v>0</v>
      </c>
      <c r="G225" s="225" t="s">
        <v>1099</v>
      </c>
      <c r="H225" s="272">
        <f>'PRECIO DEL METRAJE'!K228</f>
        <v>0</v>
      </c>
      <c r="I225" s="272">
        <f t="shared" si="14"/>
        <v>0</v>
      </c>
      <c r="J225" s="270"/>
      <c r="K225" s="280"/>
      <c r="M225" s="62" t="str">
        <f t="shared" si="12"/>
        <v>OCULTAR</v>
      </c>
      <c r="N225" s="62"/>
      <c r="O225" s="62"/>
      <c r="P225" s="62"/>
      <c r="Q225" s="62"/>
      <c r="R225" s="62"/>
      <c r="S225" s="62"/>
    </row>
    <row r="226" spans="2:19" ht="18" customHeight="1" x14ac:dyDescent="0.35">
      <c r="B226" s="230"/>
      <c r="C226" s="423"/>
      <c r="D226" s="229" t="s">
        <v>1130</v>
      </c>
      <c r="E226" s="225"/>
      <c r="F226" s="268">
        <f>'PRECIO DEL METRAJE'!E229</f>
        <v>0</v>
      </c>
      <c r="G226" s="225" t="s">
        <v>1099</v>
      </c>
      <c r="H226" s="272">
        <f>'PRECIO DEL METRAJE'!K229</f>
        <v>0</v>
      </c>
      <c r="I226" s="272">
        <f t="shared" si="14"/>
        <v>0</v>
      </c>
      <c r="J226" s="270"/>
      <c r="K226" s="280"/>
      <c r="M226" s="62" t="str">
        <f t="shared" si="12"/>
        <v>OCULTAR</v>
      </c>
      <c r="N226" s="62"/>
      <c r="O226" s="62"/>
      <c r="P226" s="62"/>
      <c r="Q226" s="62"/>
      <c r="R226" s="62"/>
      <c r="S226" s="62"/>
    </row>
    <row r="227" spans="2:19" ht="69.75" customHeight="1" x14ac:dyDescent="0.35">
      <c r="B227" s="230"/>
      <c r="C227" s="423"/>
      <c r="D227" s="235" t="s">
        <v>1219</v>
      </c>
      <c r="E227" s="225"/>
      <c r="F227" s="268">
        <f>'PRECIO DEL METRAJE'!E230</f>
        <v>0</v>
      </c>
      <c r="G227" s="225" t="s">
        <v>1099</v>
      </c>
      <c r="H227" s="272">
        <f>'PRECIO DEL METRAJE'!K230</f>
        <v>540</v>
      </c>
      <c r="I227" s="272">
        <f t="shared" si="14"/>
        <v>0</v>
      </c>
      <c r="J227" s="270"/>
      <c r="K227" s="280"/>
      <c r="M227" s="62" t="str">
        <f t="shared" si="12"/>
        <v>OCULTAR</v>
      </c>
      <c r="N227" s="62"/>
      <c r="O227" s="62"/>
      <c r="P227" s="62"/>
      <c r="Q227" s="62"/>
      <c r="R227" s="62"/>
      <c r="S227" s="62"/>
    </row>
    <row r="228" spans="2:19" ht="72" customHeight="1" x14ac:dyDescent="0.35">
      <c r="B228" s="230"/>
      <c r="C228" s="423"/>
      <c r="D228" s="235" t="s">
        <v>1220</v>
      </c>
      <c r="E228" s="225"/>
      <c r="F228" s="268">
        <f>'PRECIO DEL METRAJE'!E231</f>
        <v>0</v>
      </c>
      <c r="G228" s="225" t="s">
        <v>1099</v>
      </c>
      <c r="H228" s="272">
        <f>'PRECIO DEL METRAJE'!K231</f>
        <v>98.6</v>
      </c>
      <c r="I228" s="272">
        <f>H228*F228</f>
        <v>0</v>
      </c>
      <c r="J228" s="270"/>
      <c r="K228" s="280"/>
      <c r="M228" s="62" t="str">
        <f t="shared" si="12"/>
        <v>OCULTAR</v>
      </c>
      <c r="N228" s="62"/>
      <c r="O228" s="62"/>
      <c r="P228" s="62"/>
      <c r="Q228" s="62"/>
      <c r="R228" s="62"/>
      <c r="S228" s="62"/>
    </row>
    <row r="229" spans="2:19" ht="15.75" customHeight="1" x14ac:dyDescent="0.35">
      <c r="B229" s="230"/>
      <c r="C229" s="423"/>
      <c r="D229" s="229"/>
      <c r="E229" s="225"/>
      <c r="F229" s="257">
        <f>IF(K230&gt;1,1,0)</f>
        <v>0</v>
      </c>
      <c r="G229" s="257"/>
      <c r="H229" s="272"/>
      <c r="I229" s="272"/>
      <c r="J229" s="270"/>
      <c r="K229" s="280"/>
      <c r="M229" s="62" t="str">
        <f t="shared" si="12"/>
        <v>OCULTAR</v>
      </c>
      <c r="N229" s="62"/>
      <c r="O229" s="62"/>
      <c r="P229" s="62"/>
      <c r="Q229" s="62"/>
      <c r="R229" s="62"/>
      <c r="S229" s="62"/>
    </row>
    <row r="230" spans="2:19" ht="18" customHeight="1" x14ac:dyDescent="0.35">
      <c r="B230" s="250">
        <f>IF(K230&gt;0,B220+1,B220)</f>
        <v>2</v>
      </c>
      <c r="C230" s="425"/>
      <c r="D230" s="251" t="s">
        <v>1129</v>
      </c>
      <c r="E230" s="261"/>
      <c r="F230" s="291">
        <f>IF(K230&gt;1,1,0)</f>
        <v>0</v>
      </c>
      <c r="G230" s="261"/>
      <c r="H230" s="275"/>
      <c r="I230" s="275"/>
      <c r="J230" s="301">
        <f>K230</f>
        <v>0</v>
      </c>
      <c r="K230" s="253">
        <f>SUM(I231:I234)</f>
        <v>0</v>
      </c>
      <c r="L230" s="63"/>
      <c r="M230" s="62" t="str">
        <f>IF(K230&gt;0.1,"MOSTRAR","OCULTAR")</f>
        <v>OCULTAR</v>
      </c>
      <c r="N230" s="62"/>
      <c r="O230" s="62"/>
      <c r="P230" s="62"/>
      <c r="Q230" s="62"/>
      <c r="R230" s="62"/>
      <c r="S230" s="62"/>
    </row>
    <row r="231" spans="2:19" ht="9" customHeight="1" x14ac:dyDescent="0.35">
      <c r="B231" s="230"/>
      <c r="C231" s="423"/>
      <c r="D231" s="260"/>
      <c r="E231" s="257"/>
      <c r="F231" s="257"/>
      <c r="G231" s="257"/>
      <c r="H231" s="276"/>
      <c r="I231" s="276"/>
      <c r="J231" s="282"/>
      <c r="K231" s="280"/>
      <c r="L231" s="57"/>
      <c r="M231" s="62" t="str">
        <f t="shared" si="12"/>
        <v>OCULTAR</v>
      </c>
      <c r="N231" s="62"/>
      <c r="O231" s="62"/>
      <c r="P231" s="62"/>
      <c r="Q231" s="62"/>
      <c r="R231" s="62"/>
      <c r="S231" s="62"/>
    </row>
    <row r="232" spans="2:19" ht="90.75" customHeight="1" x14ac:dyDescent="0.35">
      <c r="B232" s="230"/>
      <c r="C232" s="423"/>
      <c r="D232" s="229" t="s">
        <v>1127</v>
      </c>
      <c r="E232" s="225"/>
      <c r="F232" s="268">
        <f>'PRECIO DEL METRAJE'!E235</f>
        <v>0</v>
      </c>
      <c r="G232" s="225" t="s">
        <v>215</v>
      </c>
      <c r="H232" s="272">
        <f>'PRECIO DEL METRAJE'!K235</f>
        <v>134.19999999999999</v>
      </c>
      <c r="I232" s="272">
        <f>H232*F232</f>
        <v>0</v>
      </c>
      <c r="J232" s="295"/>
      <c r="K232" s="280"/>
      <c r="M232" s="62" t="str">
        <f t="shared" si="12"/>
        <v>OCULTAR</v>
      </c>
      <c r="N232" s="62"/>
      <c r="O232" s="62"/>
      <c r="P232" s="62"/>
      <c r="Q232" s="62"/>
      <c r="R232" s="62"/>
      <c r="S232" s="62"/>
    </row>
    <row r="233" spans="2:19" ht="79.5" customHeight="1" x14ac:dyDescent="0.35">
      <c r="B233" s="230"/>
      <c r="C233" s="423"/>
      <c r="D233" s="229" t="s">
        <v>1128</v>
      </c>
      <c r="E233" s="225"/>
      <c r="F233" s="268">
        <f>'PRECIO DEL METRAJE'!E236</f>
        <v>0</v>
      </c>
      <c r="G233" s="225" t="s">
        <v>215</v>
      </c>
      <c r="H233" s="272">
        <f>'PRECIO DEL METRAJE'!K236</f>
        <v>246.7</v>
      </c>
      <c r="I233" s="272">
        <f>H233*F233</f>
        <v>0</v>
      </c>
      <c r="J233" s="295"/>
      <c r="K233" s="280"/>
      <c r="M233" s="62" t="str">
        <f t="shared" si="12"/>
        <v>OCULTAR</v>
      </c>
      <c r="N233" s="62"/>
      <c r="O233" s="62"/>
      <c r="P233" s="62"/>
      <c r="Q233" s="62"/>
      <c r="R233" s="62"/>
      <c r="S233" s="62"/>
    </row>
    <row r="234" spans="2:19" ht="18" customHeight="1" x14ac:dyDescent="0.35">
      <c r="B234" s="230"/>
      <c r="C234" s="423"/>
      <c r="D234" s="229"/>
      <c r="E234" s="225"/>
      <c r="F234" s="257">
        <f>IF(K235&gt;1,1,0)</f>
        <v>0</v>
      </c>
      <c r="G234" s="257"/>
      <c r="H234" s="272"/>
      <c r="I234" s="272"/>
      <c r="J234" s="295"/>
      <c r="K234" s="280"/>
      <c r="M234" s="62" t="str">
        <f t="shared" si="12"/>
        <v>OCULTAR</v>
      </c>
      <c r="N234" s="62"/>
      <c r="O234" s="62"/>
      <c r="P234" s="62"/>
      <c r="Q234" s="62"/>
      <c r="R234" s="62"/>
      <c r="S234" s="62"/>
    </row>
    <row r="235" spans="2:19" ht="18" customHeight="1" x14ac:dyDescent="0.35">
      <c r="B235" s="250">
        <f>IF(K235&gt;0,B230+1,B230)</f>
        <v>2</v>
      </c>
      <c r="C235" s="425"/>
      <c r="D235" s="251" t="s">
        <v>209</v>
      </c>
      <c r="E235" s="261"/>
      <c r="F235" s="291">
        <f>IF(K235&gt;1,1,0)</f>
        <v>0</v>
      </c>
      <c r="G235" s="261"/>
      <c r="H235" s="275"/>
      <c r="I235" s="275"/>
      <c r="J235" s="301">
        <f>K235</f>
        <v>0</v>
      </c>
      <c r="K235" s="253">
        <f>SUM(I236:I239)</f>
        <v>0</v>
      </c>
      <c r="L235" s="63"/>
      <c r="M235" s="62" t="str">
        <f>IF(K235&gt;0.1,"MOSTRAR","OCULTAR")</f>
        <v>OCULTAR</v>
      </c>
      <c r="N235" s="62"/>
      <c r="O235" s="62"/>
      <c r="P235" s="62"/>
      <c r="Q235" s="62"/>
      <c r="R235" s="62"/>
      <c r="S235" s="62"/>
    </row>
    <row r="236" spans="2:19" ht="18" customHeight="1" x14ac:dyDescent="0.35">
      <c r="B236" s="230"/>
      <c r="C236" s="423"/>
      <c r="D236" s="229" t="s">
        <v>599</v>
      </c>
      <c r="E236" s="225"/>
      <c r="F236" s="268">
        <f>'PRECIO DEL METRAJE'!E239</f>
        <v>0</v>
      </c>
      <c r="G236" s="225" t="s">
        <v>1099</v>
      </c>
      <c r="H236" s="272">
        <f>'PRECIO DEL METRAJE'!K239</f>
        <v>0</v>
      </c>
      <c r="I236" s="272">
        <f>H236*F236</f>
        <v>0</v>
      </c>
      <c r="J236" s="270"/>
      <c r="K236" s="280"/>
      <c r="M236" s="62" t="str">
        <f t="shared" ref="M236:M238" si="15">IF(F236&gt;0.1,"MOSTRAR","OCULTAR")</f>
        <v>OCULTAR</v>
      </c>
      <c r="N236" s="62"/>
      <c r="O236" s="62"/>
      <c r="P236" s="62"/>
      <c r="Q236" s="62"/>
      <c r="R236" s="62"/>
      <c r="S236" s="62"/>
    </row>
    <row r="237" spans="2:19" ht="18" customHeight="1" x14ac:dyDescent="0.35">
      <c r="B237" s="230"/>
      <c r="C237" s="423"/>
      <c r="D237" s="229" t="s">
        <v>599</v>
      </c>
      <c r="E237" s="225"/>
      <c r="F237" s="268">
        <f>'PRECIO DEL METRAJE'!E240</f>
        <v>0</v>
      </c>
      <c r="G237" s="225" t="s">
        <v>1099</v>
      </c>
      <c r="H237" s="272">
        <f>'PRECIO DEL METRAJE'!K240</f>
        <v>0</v>
      </c>
      <c r="I237" s="272">
        <f>H237*F237</f>
        <v>0</v>
      </c>
      <c r="J237" s="270"/>
      <c r="K237" s="280"/>
      <c r="M237" s="62" t="str">
        <f t="shared" si="15"/>
        <v>OCULTAR</v>
      </c>
      <c r="N237" s="62"/>
      <c r="O237" s="62"/>
      <c r="P237" s="62"/>
      <c r="Q237" s="62"/>
      <c r="R237" s="62"/>
      <c r="S237" s="62"/>
    </row>
    <row r="238" spans="2:19" ht="18" customHeight="1" x14ac:dyDescent="0.35">
      <c r="B238" s="230"/>
      <c r="C238" s="423"/>
      <c r="D238" s="229" t="s">
        <v>599</v>
      </c>
      <c r="E238" s="225"/>
      <c r="F238" s="268">
        <f>'PRECIO DEL METRAJE'!E241</f>
        <v>0</v>
      </c>
      <c r="G238" s="225" t="s">
        <v>1099</v>
      </c>
      <c r="H238" s="272">
        <f>'PRECIO DEL METRAJE'!K241</f>
        <v>0</v>
      </c>
      <c r="I238" s="272">
        <f>H238*F238</f>
        <v>0</v>
      </c>
      <c r="J238" s="270"/>
      <c r="K238" s="280"/>
      <c r="M238" s="62" t="str">
        <f t="shared" si="15"/>
        <v>OCULTAR</v>
      </c>
      <c r="N238" s="62"/>
      <c r="O238" s="62"/>
      <c r="P238" s="62"/>
      <c r="Q238" s="62"/>
      <c r="R238" s="62"/>
      <c r="S238" s="62"/>
    </row>
    <row r="239" spans="2:19" ht="18" customHeight="1" x14ac:dyDescent="0.35">
      <c r="B239" s="230"/>
      <c r="C239" s="423"/>
      <c r="D239" s="229" t="s">
        <v>599</v>
      </c>
      <c r="E239" s="225"/>
      <c r="F239" s="268">
        <f>'PRECIO DEL METRAJE'!E242</f>
        <v>0</v>
      </c>
      <c r="G239" s="225" t="s">
        <v>1099</v>
      </c>
      <c r="H239" s="272">
        <f>'PRECIO DEL METRAJE'!K242</f>
        <v>0</v>
      </c>
      <c r="I239" s="272">
        <f>H239*F239</f>
        <v>0</v>
      </c>
      <c r="J239" s="270"/>
      <c r="K239" s="280"/>
      <c r="M239" s="62" t="str">
        <f t="shared" si="12"/>
        <v>OCULTAR</v>
      </c>
      <c r="N239" s="62"/>
      <c r="O239" s="62"/>
      <c r="P239" s="62"/>
      <c r="Q239" s="62"/>
      <c r="R239" s="62"/>
      <c r="S239" s="62"/>
    </row>
    <row r="240" spans="2:19" ht="18" customHeight="1" x14ac:dyDescent="0.35">
      <c r="B240" s="230"/>
      <c r="C240" s="423"/>
      <c r="D240" s="229"/>
      <c r="E240" s="225"/>
      <c r="F240" s="268"/>
      <c r="G240" s="225"/>
      <c r="H240" s="270"/>
      <c r="I240" s="272"/>
      <c r="J240" s="270"/>
      <c r="K240" s="280"/>
      <c r="M240" s="62" t="str">
        <f t="shared" si="12"/>
        <v>OCULTAR</v>
      </c>
      <c r="N240" s="62"/>
      <c r="O240" s="62"/>
      <c r="P240" s="62"/>
      <c r="Q240" s="62"/>
      <c r="R240" s="62"/>
      <c r="S240" s="62"/>
    </row>
    <row r="241" spans="1:30" s="58" customFormat="1" ht="29.25" customHeight="1" thickBot="1" x14ac:dyDescent="0.4">
      <c r="A241" s="55"/>
      <c r="B241" s="255"/>
      <c r="C241" s="429"/>
      <c r="D241" s="283"/>
      <c r="E241" s="263"/>
      <c r="F241" s="296">
        <v>1</v>
      </c>
      <c r="G241" s="263"/>
      <c r="H241" s="284"/>
      <c r="I241" s="297"/>
      <c r="J241" s="298" t="s">
        <v>1100</v>
      </c>
      <c r="K241" s="299">
        <f>SUM(K5:K240)</f>
        <v>1473.96</v>
      </c>
      <c r="M241" s="62" t="str">
        <f>IF(K241&gt;0.1,"MOSTRAR","OCULTAR")</f>
        <v>MOSTRAR</v>
      </c>
      <c r="N241" s="62"/>
      <c r="O241" s="62"/>
      <c r="P241" s="62"/>
      <c r="Q241" s="62"/>
      <c r="R241" s="62"/>
      <c r="S241" s="62"/>
      <c r="T241" s="62"/>
      <c r="U241" s="62"/>
      <c r="V241" s="55"/>
      <c r="W241" s="55"/>
      <c r="X241" s="55"/>
      <c r="Y241" s="55"/>
      <c r="Z241" s="55"/>
      <c r="AA241" s="55"/>
      <c r="AB241" s="55"/>
      <c r="AC241" s="55"/>
      <c r="AD241" s="55"/>
    </row>
    <row r="242" spans="1:30" s="58" customFormat="1" ht="18" customHeight="1" thickTop="1" x14ac:dyDescent="0.35">
      <c r="A242" s="55"/>
      <c r="B242" s="247"/>
      <c r="C242" s="246"/>
      <c r="D242" s="246"/>
      <c r="E242" s="246"/>
      <c r="F242" s="256">
        <v>1</v>
      </c>
      <c r="G242" s="247"/>
      <c r="H242" s="246"/>
      <c r="I242" s="246"/>
      <c r="J242" s="246"/>
      <c r="K242" s="246"/>
      <c r="M242" s="62" t="str">
        <f t="shared" si="12"/>
        <v>MOSTRAR</v>
      </c>
      <c r="N242" s="62"/>
      <c r="O242" s="62"/>
      <c r="P242" s="62"/>
      <c r="Q242" s="62"/>
      <c r="R242" s="62"/>
      <c r="S242" s="62"/>
      <c r="T242" s="62"/>
      <c r="U242" s="62"/>
      <c r="V242" s="55"/>
      <c r="W242" s="55"/>
      <c r="X242" s="55"/>
      <c r="Y242" s="55"/>
      <c r="Z242" s="55"/>
      <c r="AA242" s="55"/>
      <c r="AB242" s="55"/>
      <c r="AC242" s="55"/>
      <c r="AD242" s="55"/>
    </row>
    <row r="243" spans="1:30" s="58" customFormat="1" ht="18" customHeight="1" x14ac:dyDescent="0.35">
      <c r="A243" s="55"/>
      <c r="B243" s="62"/>
      <c r="C243" s="55"/>
      <c r="D243" s="55"/>
      <c r="E243" s="55"/>
      <c r="F243" s="55"/>
      <c r="G243" s="62"/>
      <c r="N243" s="59"/>
      <c r="S243" s="55"/>
      <c r="T243" s="62"/>
      <c r="U243" s="62"/>
      <c r="V243" s="55"/>
      <c r="W243" s="55"/>
      <c r="X243" s="55"/>
      <c r="Y243" s="55"/>
      <c r="Z243" s="55"/>
      <c r="AA243" s="55"/>
      <c r="AB243" s="55"/>
      <c r="AC243" s="55"/>
      <c r="AD243" s="55"/>
    </row>
    <row r="244" spans="1:30" s="58" customFormat="1" ht="18" customHeight="1" x14ac:dyDescent="0.35">
      <c r="A244" s="55"/>
      <c r="B244" s="62"/>
      <c r="C244" s="55"/>
      <c r="D244" s="55"/>
      <c r="E244" s="635" t="s">
        <v>601</v>
      </c>
      <c r="F244" s="635"/>
      <c r="G244" s="635"/>
      <c r="H244" s="635"/>
      <c r="I244" s="58">
        <f>SUBTOTAL(109,I5:I241)</f>
        <v>1749.9200000000003</v>
      </c>
      <c r="J244" s="58">
        <f>SUM(J6:J240)</f>
        <v>1473.96</v>
      </c>
      <c r="N244" s="59"/>
      <c r="S244" s="55"/>
      <c r="T244" s="62"/>
      <c r="U244" s="62"/>
      <c r="V244" s="55"/>
      <c r="W244" s="55"/>
      <c r="X244" s="55"/>
      <c r="Y244" s="55"/>
      <c r="Z244" s="55"/>
      <c r="AA244" s="55"/>
      <c r="AB244" s="55"/>
      <c r="AC244" s="55"/>
      <c r="AD244" s="55"/>
    </row>
    <row r="245" spans="1:30" s="58" customFormat="1" ht="18" customHeight="1" x14ac:dyDescent="0.35">
      <c r="A245" s="55"/>
      <c r="B245" s="62"/>
      <c r="C245" s="55"/>
      <c r="D245" s="55"/>
      <c r="E245" s="635" t="s">
        <v>602</v>
      </c>
      <c r="F245" s="635"/>
      <c r="G245" s="635"/>
      <c r="H245" s="635"/>
      <c r="I245" s="58">
        <f>SUM(I5:I241)</f>
        <v>1749.9200000000003</v>
      </c>
      <c r="N245" s="59"/>
      <c r="S245" s="55"/>
      <c r="T245" s="62"/>
      <c r="U245" s="62"/>
      <c r="V245" s="55"/>
      <c r="W245" s="55"/>
      <c r="X245" s="55"/>
      <c r="Y245" s="55"/>
      <c r="Z245" s="55"/>
      <c r="AA245" s="55"/>
      <c r="AB245" s="55"/>
      <c r="AC245" s="55"/>
      <c r="AD245" s="55"/>
    </row>
    <row r="246" spans="1:30" s="58" customFormat="1" ht="18" customHeight="1" x14ac:dyDescent="0.35">
      <c r="A246" s="55"/>
      <c r="B246" s="62"/>
      <c r="C246" s="55"/>
      <c r="D246" s="55"/>
      <c r="E246" s="635" t="s">
        <v>603</v>
      </c>
      <c r="F246" s="635"/>
      <c r="G246" s="635"/>
      <c r="H246" s="635"/>
      <c r="I246" s="58">
        <f>'PRECIO DEL METRAJE'!M250</f>
        <v>1473.9600000000003</v>
      </c>
      <c r="N246" s="59"/>
      <c r="S246" s="55"/>
      <c r="T246" s="62"/>
      <c r="U246" s="62"/>
      <c r="V246" s="55"/>
      <c r="W246" s="55"/>
      <c r="X246" s="55"/>
      <c r="Y246" s="55"/>
      <c r="Z246" s="55"/>
      <c r="AA246" s="55"/>
      <c r="AB246" s="55"/>
      <c r="AC246" s="55"/>
      <c r="AD246" s="55"/>
    </row>
    <row r="247" spans="1:30" s="58" customFormat="1" ht="18" customHeight="1" x14ac:dyDescent="0.35">
      <c r="A247" s="55"/>
      <c r="B247" s="62"/>
      <c r="C247" s="55"/>
      <c r="D247" s="55"/>
      <c r="E247" s="55"/>
      <c r="F247" s="55"/>
      <c r="G247" s="62"/>
      <c r="N247" s="59"/>
      <c r="S247" s="55"/>
      <c r="T247" s="62"/>
      <c r="U247" s="62"/>
      <c r="V247" s="55"/>
      <c r="W247" s="55"/>
      <c r="X247" s="55"/>
      <c r="Y247" s="55"/>
      <c r="Z247" s="55"/>
      <c r="AA247" s="55"/>
      <c r="AB247" s="55"/>
      <c r="AC247" s="55"/>
      <c r="AD247" s="55"/>
    </row>
    <row r="248" spans="1:30" s="58" customFormat="1" ht="18" customHeight="1" x14ac:dyDescent="0.35">
      <c r="A248" s="55"/>
      <c r="B248" s="62"/>
      <c r="C248" s="55"/>
      <c r="D248" s="55"/>
      <c r="E248" s="55"/>
      <c r="F248" s="55"/>
      <c r="G248" s="62"/>
      <c r="N248" s="59"/>
      <c r="S248" s="55"/>
      <c r="T248" s="62"/>
      <c r="U248" s="62"/>
      <c r="V248" s="55"/>
      <c r="W248" s="55"/>
      <c r="X248" s="55"/>
      <c r="Y248" s="55"/>
      <c r="Z248" s="55"/>
      <c r="AA248" s="55"/>
      <c r="AB248" s="55"/>
      <c r="AC248" s="55"/>
      <c r="AD248" s="55"/>
    </row>
    <row r="249" spans="1:30" s="58" customFormat="1" ht="18" customHeight="1" x14ac:dyDescent="0.35">
      <c r="A249" s="55"/>
      <c r="B249" s="62"/>
      <c r="C249" s="55"/>
      <c r="D249" s="55"/>
      <c r="E249" s="55"/>
      <c r="F249" s="55"/>
      <c r="G249" s="62"/>
      <c r="N249" s="59"/>
      <c r="S249" s="55"/>
      <c r="T249" s="62"/>
      <c r="U249" s="62"/>
      <c r="V249" s="55"/>
      <c r="W249" s="55"/>
      <c r="X249" s="55"/>
      <c r="Y249" s="55"/>
      <c r="Z249" s="55"/>
      <c r="AA249" s="55"/>
      <c r="AB249" s="55"/>
      <c r="AC249" s="55"/>
      <c r="AD249" s="55"/>
    </row>
    <row r="250" spans="1:30" s="58" customFormat="1" ht="18" customHeight="1" x14ac:dyDescent="0.35">
      <c r="A250" s="55"/>
      <c r="B250" s="62"/>
      <c r="C250" s="55"/>
      <c r="D250" s="55"/>
      <c r="E250" s="55"/>
      <c r="F250" s="55"/>
      <c r="G250" s="62"/>
      <c r="N250" s="59"/>
      <c r="S250" s="55"/>
      <c r="T250" s="62"/>
      <c r="U250" s="62"/>
      <c r="V250" s="55"/>
      <c r="W250" s="55"/>
      <c r="X250" s="55"/>
      <c r="Y250" s="55"/>
      <c r="Z250" s="55"/>
      <c r="AA250" s="55"/>
      <c r="AB250" s="55"/>
      <c r="AC250" s="55"/>
      <c r="AD250" s="55"/>
    </row>
    <row r="251" spans="1:30" s="58" customFormat="1" ht="18" customHeight="1" x14ac:dyDescent="0.35">
      <c r="A251" s="55"/>
      <c r="B251" s="62"/>
      <c r="C251" s="55"/>
      <c r="D251" s="55"/>
      <c r="E251" s="55"/>
      <c r="F251" s="55"/>
      <c r="G251" s="62"/>
      <c r="N251" s="59"/>
      <c r="S251" s="55"/>
      <c r="T251" s="62"/>
      <c r="U251" s="62"/>
      <c r="V251" s="55"/>
      <c r="W251" s="55"/>
      <c r="X251" s="55"/>
      <c r="Y251" s="55"/>
      <c r="Z251" s="55"/>
      <c r="AA251" s="55"/>
      <c r="AB251" s="55"/>
      <c r="AC251" s="55"/>
      <c r="AD251" s="55"/>
    </row>
    <row r="252" spans="1:30" s="58" customFormat="1" ht="18" customHeight="1" x14ac:dyDescent="0.35">
      <c r="A252" s="55"/>
      <c r="B252" s="62"/>
      <c r="C252" s="55"/>
      <c r="D252" s="55"/>
      <c r="E252" s="55"/>
      <c r="F252" s="55"/>
      <c r="G252" s="62"/>
      <c r="N252" s="59"/>
      <c r="S252" s="55"/>
      <c r="T252" s="62"/>
      <c r="U252" s="62"/>
      <c r="V252" s="55"/>
      <c r="W252" s="55"/>
      <c r="X252" s="55"/>
      <c r="Y252" s="55"/>
      <c r="Z252" s="55"/>
      <c r="AA252" s="55"/>
      <c r="AB252" s="55"/>
      <c r="AC252" s="55"/>
      <c r="AD252" s="55"/>
    </row>
    <row r="253" spans="1:30" s="58" customFormat="1" ht="18" customHeight="1" x14ac:dyDescent="0.35">
      <c r="A253" s="55"/>
      <c r="B253" s="62"/>
      <c r="C253" s="55"/>
      <c r="D253" s="55"/>
      <c r="E253" s="55"/>
      <c r="F253" s="55"/>
      <c r="G253" s="62"/>
      <c r="N253" s="59"/>
      <c r="S253" s="55"/>
      <c r="T253" s="62"/>
      <c r="U253" s="62"/>
      <c r="V253" s="55"/>
      <c r="W253" s="55"/>
      <c r="X253" s="55"/>
      <c r="Y253" s="55"/>
      <c r="Z253" s="55"/>
      <c r="AA253" s="55"/>
      <c r="AB253" s="55"/>
      <c r="AC253" s="55"/>
      <c r="AD253" s="55"/>
    </row>
    <row r="254" spans="1:30" s="58" customFormat="1" ht="18" customHeight="1" x14ac:dyDescent="0.35">
      <c r="A254" s="55"/>
      <c r="B254" s="62"/>
      <c r="C254" s="55"/>
      <c r="D254" s="55"/>
      <c r="E254" s="55"/>
      <c r="F254" s="55"/>
      <c r="G254" s="62"/>
      <c r="N254" s="59"/>
      <c r="S254" s="55"/>
      <c r="T254" s="62"/>
      <c r="U254" s="62"/>
      <c r="V254" s="55"/>
      <c r="W254" s="55"/>
      <c r="X254" s="55"/>
      <c r="Y254" s="55"/>
      <c r="Z254" s="55"/>
      <c r="AA254" s="55"/>
      <c r="AB254" s="55"/>
      <c r="AC254" s="55"/>
      <c r="AD254" s="55"/>
    </row>
  </sheetData>
  <autoFilter ref="B3:M242" xr:uid="{7DD5EFE5-F0AA-4AB1-9DDF-EF593B3D175D}"/>
  <mergeCells count="8">
    <mergeCell ref="E245:H245"/>
    <mergeCell ref="E246:H246"/>
    <mergeCell ref="B1:J1"/>
    <mergeCell ref="B2:D2"/>
    <mergeCell ref="F2:G2"/>
    <mergeCell ref="C122:C123"/>
    <mergeCell ref="C179:C183"/>
    <mergeCell ref="E244:H244"/>
  </mergeCells>
  <conditionalFormatting sqref="M4:M6 M56 M80:M81">
    <cfRule type="expression" dxfId="27" priority="25">
      <formula>F10&gt;1</formula>
    </cfRule>
    <cfRule type="expression" dxfId="26" priority="26">
      <formula>F8&gt;1</formula>
    </cfRule>
  </conditionalFormatting>
  <conditionalFormatting sqref="M4:M120">
    <cfRule type="expression" dxfId="25" priority="16">
      <formula>$F$8&gt;1</formula>
    </cfRule>
    <cfRule type="cellIs" dxfId="24" priority="17" operator="greaterThan">
      <formula>"0.5"</formula>
    </cfRule>
    <cfRule type="expression" dxfId="23" priority="18">
      <formula>$F$8&gt;0.5</formula>
    </cfRule>
  </conditionalFormatting>
  <conditionalFormatting sqref="M4:M242">
    <cfRule type="cellIs" dxfId="22" priority="7" operator="equal">
      <formula>"OCULTAR"</formula>
    </cfRule>
    <cfRule type="cellIs" dxfId="21" priority="8" operator="equal">
      <formula>"MOSTRAR"</formula>
    </cfRule>
    <cfRule type="expression" dxfId="20" priority="9">
      <formula>$F$8&gt;1</formula>
    </cfRule>
    <cfRule type="expression" priority="11">
      <formula>$I$8&gt;0.5</formula>
    </cfRule>
  </conditionalFormatting>
  <conditionalFormatting sqref="M7:M27">
    <cfRule type="expression" dxfId="19" priority="27">
      <formula>#REF!&gt;1</formula>
    </cfRule>
  </conditionalFormatting>
  <conditionalFormatting sqref="M13:M18 M28:M38">
    <cfRule type="expression" dxfId="18" priority="4">
      <formula>F24&gt;1</formula>
    </cfRule>
  </conditionalFormatting>
  <conditionalFormatting sqref="M16">
    <cfRule type="containsText" dxfId="17" priority="2" operator="containsText" text="OCULTAR">
      <formula>NOT(ISERROR(SEARCH("OCULTAR",M16)))</formula>
    </cfRule>
    <cfRule type="containsText" dxfId="16" priority="3" operator="containsText" text="MOSTRAR">
      <formula>NOT(ISERROR(SEARCH("MOSTRAR",M16)))</formula>
    </cfRule>
  </conditionalFormatting>
  <conditionalFormatting sqref="M20">
    <cfRule type="expression" dxfId="15" priority="29">
      <formula>F30&gt;1</formula>
    </cfRule>
  </conditionalFormatting>
  <conditionalFormatting sqref="M29:M38">
    <cfRule type="expression" dxfId="14" priority="1">
      <formula>#REF!&gt;1</formula>
    </cfRule>
  </conditionalFormatting>
  <conditionalFormatting sqref="M39:M48">
    <cfRule type="expression" dxfId="13" priority="28">
      <formula>#REF!&gt;1</formula>
    </cfRule>
  </conditionalFormatting>
  <conditionalFormatting sqref="M40">
    <cfRule type="expression" dxfId="12" priority="24">
      <formula>F45&gt;1</formula>
    </cfRule>
  </conditionalFormatting>
  <conditionalFormatting sqref="M46:M47">
    <cfRule type="expression" dxfId="11" priority="5">
      <formula>F53&gt;1</formula>
    </cfRule>
    <cfRule type="expression" dxfId="10" priority="6">
      <formula>F51&gt;1</formula>
    </cfRule>
  </conditionalFormatting>
  <conditionalFormatting sqref="M49:M55">
    <cfRule type="expression" dxfId="9" priority="20">
      <formula>F61&gt;1</formula>
    </cfRule>
    <cfRule type="expression" dxfId="8" priority="21">
      <formula>F59&gt;1</formula>
    </cfRule>
  </conditionalFormatting>
  <conditionalFormatting sqref="M57:M58">
    <cfRule type="expression" dxfId="7" priority="22">
      <formula>F62&gt;1</formula>
    </cfRule>
  </conditionalFormatting>
  <conditionalFormatting sqref="M57:M79">
    <cfRule type="expression" dxfId="6" priority="15">
      <formula>F64&gt;1</formula>
    </cfRule>
  </conditionalFormatting>
  <conditionalFormatting sqref="M78">
    <cfRule type="expression" dxfId="5" priority="19">
      <formula>F83&gt;1</formula>
    </cfRule>
  </conditionalFormatting>
  <conditionalFormatting sqref="M82:M120">
    <cfRule type="expression" dxfId="4" priority="23">
      <formula>F89&gt;1</formula>
    </cfRule>
  </conditionalFormatting>
  <conditionalFormatting sqref="M121:M242">
    <cfRule type="expression" dxfId="3" priority="10">
      <formula>$F$8&gt;1</formula>
    </cfRule>
    <cfRule type="cellIs" dxfId="2" priority="12" operator="greaterThan">
      <formula>"0.5"</formula>
    </cfRule>
    <cfRule type="expression" dxfId="1" priority="13">
      <formula>$F$8&gt;0.5</formula>
    </cfRule>
    <cfRule type="expression" dxfId="0" priority="14">
      <formula>F128&gt;1</formula>
    </cfRule>
  </conditionalFormatting>
  <pageMargins left="0.70866141732283472" right="0.70866141732283472" top="0.74803149606299213" bottom="0.74803149606299213" header="0.31496062992125984" footer="0.31496062992125984"/>
  <pageSetup paperSize="8" scale="90" orientation="landscape" r:id="rId1"/>
  <ignoredErrors>
    <ignoredError sqref="M5 M7 M42 M48 M88 M241 M235 M101" formula="1"/>
  </ignoredError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FB42D-98B2-423B-A6D6-06F9FD4D7DF7}">
  <sheetPr>
    <pageSetUpPr fitToPage="1"/>
  </sheetPr>
  <dimension ref="A1:L38"/>
  <sheetViews>
    <sheetView workbookViewId="0"/>
  </sheetViews>
  <sheetFormatPr baseColWidth="10" defaultColWidth="9.1796875" defaultRowHeight="13" x14ac:dyDescent="0.3"/>
  <cols>
    <col min="1" max="1" width="17" style="26" customWidth="1"/>
    <col min="2" max="2" width="37.54296875" style="27" customWidth="1"/>
    <col min="3" max="3" width="19.36328125" style="27" customWidth="1"/>
    <col min="4" max="4" width="15.54296875" style="26" customWidth="1"/>
    <col min="5" max="5" width="9.1796875" style="5"/>
    <col min="6" max="6" width="33.81640625" style="5" customWidth="1"/>
    <col min="7" max="7" width="10.36328125" style="5" customWidth="1"/>
    <col min="8" max="8" width="14.54296875" style="5" bestFit="1" customWidth="1"/>
    <col min="9" max="9" width="14.81640625" style="5" bestFit="1" customWidth="1"/>
    <col min="10" max="12" width="9.1796875" style="5"/>
    <col min="13" max="13" width="10.81640625" style="5" bestFit="1" customWidth="1"/>
    <col min="14" max="16384" width="9.1796875" style="5"/>
  </cols>
  <sheetData>
    <row r="1" spans="1:12" ht="17.25" customHeight="1" x14ac:dyDescent="0.3">
      <c r="A1" s="1"/>
      <c r="B1" s="2"/>
      <c r="C1" s="3"/>
      <c r="D1" s="4"/>
    </row>
    <row r="2" spans="1:12" ht="18" customHeight="1" x14ac:dyDescent="0.3">
      <c r="A2" s="6"/>
      <c r="B2" s="642" t="s">
        <v>448</v>
      </c>
      <c r="C2" s="643"/>
      <c r="D2" s="7" t="s">
        <v>449</v>
      </c>
    </row>
    <row r="3" spans="1:12" ht="13.5" thickBot="1" x14ac:dyDescent="0.35">
      <c r="A3" s="8"/>
      <c r="B3" s="9"/>
      <c r="C3" s="10"/>
      <c r="D3" s="11" t="s">
        <v>450</v>
      </c>
    </row>
    <row r="4" spans="1:12" s="13" customFormat="1" thickBot="1" x14ac:dyDescent="0.3">
      <c r="A4" s="12"/>
      <c r="B4" s="12"/>
      <c r="C4" s="12"/>
      <c r="D4" s="12"/>
    </row>
    <row r="5" spans="1:12" s="17" customFormat="1" ht="13.5" thickBot="1" x14ac:dyDescent="0.35">
      <c r="A5" s="14" t="s">
        <v>451</v>
      </c>
      <c r="B5" s="15" t="e">
        <f>#REF!</f>
        <v>#REF!</v>
      </c>
      <c r="C5" s="16"/>
      <c r="E5" s="18"/>
      <c r="F5" s="19" t="s">
        <v>452</v>
      </c>
    </row>
    <row r="6" spans="1:12" s="13" customFormat="1" ht="13.5" thickBot="1" x14ac:dyDescent="0.35">
      <c r="A6" s="14" t="s">
        <v>453</v>
      </c>
      <c r="B6" s="45" t="e">
        <f>#REF!</f>
        <v>#REF!</v>
      </c>
      <c r="C6" s="20"/>
      <c r="E6" s="21"/>
      <c r="F6" s="22" t="s">
        <v>454</v>
      </c>
    </row>
    <row r="7" spans="1:12" ht="13.5" thickBot="1" x14ac:dyDescent="0.35">
      <c r="A7"/>
      <c r="B7"/>
      <c r="C7" s="23"/>
      <c r="D7" s="24"/>
      <c r="E7" s="25"/>
      <c r="F7" s="22" t="s">
        <v>455</v>
      </c>
    </row>
    <row r="9" spans="1:12" ht="13.5" thickBot="1" x14ac:dyDescent="0.35">
      <c r="B9" s="5"/>
    </row>
    <row r="10" spans="1:12" ht="13.5" thickBot="1" x14ac:dyDescent="0.35">
      <c r="B10" s="5"/>
      <c r="F10" s="28" t="s">
        <v>491</v>
      </c>
      <c r="G10" s="21" t="e">
        <f>ROUNDUP((C22+C24)*C23,0)</f>
        <v>#REF!</v>
      </c>
      <c r="H10" s="5" t="s">
        <v>466</v>
      </c>
      <c r="I10" s="25" t="e">
        <f>G10/4</f>
        <v>#REF!</v>
      </c>
      <c r="J10" s="5" t="s">
        <v>467</v>
      </c>
    </row>
    <row r="11" spans="1:12" ht="13.5" thickBot="1" x14ac:dyDescent="0.35">
      <c r="B11" s="5"/>
    </row>
    <row r="12" spans="1:12" ht="13.5" thickBot="1" x14ac:dyDescent="0.35">
      <c r="B12" s="46" t="s">
        <v>469</v>
      </c>
      <c r="C12" s="47"/>
      <c r="F12" s="5" t="s">
        <v>470</v>
      </c>
      <c r="G12" s="32">
        <v>4</v>
      </c>
      <c r="H12" s="5" t="s">
        <v>471</v>
      </c>
      <c r="I12" s="32" t="s">
        <v>750</v>
      </c>
    </row>
    <row r="13" spans="1:12" ht="13.5" thickBot="1" x14ac:dyDescent="0.35">
      <c r="B13" s="48"/>
      <c r="C13" s="49"/>
    </row>
    <row r="14" spans="1:12" ht="13.5" thickBot="1" x14ac:dyDescent="0.35">
      <c r="B14" s="50" t="s">
        <v>391</v>
      </c>
      <c r="C14" s="51" t="e">
        <f>K14+K15</f>
        <v>#REF!</v>
      </c>
      <c r="E14" s="32">
        <v>1</v>
      </c>
      <c r="F14" s="5" t="s">
        <v>473</v>
      </c>
      <c r="G14" s="21">
        <f>I14*8*22</f>
        <v>0</v>
      </c>
      <c r="H14" s="5" t="s">
        <v>474</v>
      </c>
      <c r="I14" s="44"/>
      <c r="J14" s="5" t="s">
        <v>475</v>
      </c>
      <c r="K14" s="25" t="e">
        <f>E14*G14*$I$10</f>
        <v>#REF!</v>
      </c>
      <c r="L14" s="5" t="s">
        <v>751</v>
      </c>
    </row>
    <row r="15" spans="1:12" ht="13.5" thickBot="1" x14ac:dyDescent="0.35">
      <c r="B15" s="50" t="s">
        <v>458</v>
      </c>
      <c r="C15" s="51" t="e">
        <f>K17+K20</f>
        <v>#REF!</v>
      </c>
      <c r="E15" s="32">
        <v>3</v>
      </c>
      <c r="F15" s="5" t="s">
        <v>471</v>
      </c>
      <c r="G15" s="21">
        <f>I15*8*22</f>
        <v>0</v>
      </c>
      <c r="H15" s="5" t="s">
        <v>474</v>
      </c>
      <c r="I15" s="44"/>
      <c r="J15" s="5" t="s">
        <v>475</v>
      </c>
      <c r="K15" s="25" t="e">
        <f>E15*G15*$I$10</f>
        <v>#REF!</v>
      </c>
      <c r="L15" s="5" t="s">
        <v>751</v>
      </c>
    </row>
    <row r="16" spans="1:12" ht="13.5" thickBot="1" x14ac:dyDescent="0.35">
      <c r="B16" s="50" t="s">
        <v>476</v>
      </c>
      <c r="C16" s="51" t="e">
        <f>K19</f>
        <v>#REF!</v>
      </c>
    </row>
    <row r="17" spans="1:12" ht="13.5" thickBot="1" x14ac:dyDescent="0.35">
      <c r="B17" s="50" t="s">
        <v>477</v>
      </c>
      <c r="C17" s="51" t="e">
        <f>K21</f>
        <v>#REF!</v>
      </c>
      <c r="E17" s="25">
        <f>G12</f>
        <v>4</v>
      </c>
      <c r="F17" s="5" t="s">
        <v>478</v>
      </c>
      <c r="G17" s="21" t="e">
        <f>ROUNDUP(G10/6,0)</f>
        <v>#REF!</v>
      </c>
      <c r="H17" s="5" t="s">
        <v>479</v>
      </c>
      <c r="I17" s="32"/>
      <c r="J17" s="5" t="s">
        <v>480</v>
      </c>
      <c r="K17" s="25" t="e">
        <f>E17*G17*I17</f>
        <v>#REF!</v>
      </c>
    </row>
    <row r="18" spans="1:12" ht="13.5" thickBot="1" x14ac:dyDescent="0.35">
      <c r="B18" s="52" t="s">
        <v>331</v>
      </c>
      <c r="C18" s="53" t="e">
        <f>SUM(C14:C17)</f>
        <v>#REF!</v>
      </c>
      <c r="D18" s="54" t="e">
        <f>C18/#REF!</f>
        <v>#REF!</v>
      </c>
      <c r="L18" s="5" t="s">
        <v>751</v>
      </c>
    </row>
    <row r="19" spans="1:12" ht="13.5" thickBot="1" x14ac:dyDescent="0.35">
      <c r="B19" s="5"/>
      <c r="C19" s="5"/>
      <c r="E19" s="32">
        <v>1</v>
      </c>
      <c r="F19" s="5" t="s">
        <v>481</v>
      </c>
      <c r="G19" s="32"/>
      <c r="H19" s="5" t="s">
        <v>474</v>
      </c>
      <c r="I19" s="38" t="e">
        <f>ROUNDUP($I$10,0)</f>
        <v>#REF!</v>
      </c>
      <c r="J19" s="5" t="s">
        <v>467</v>
      </c>
      <c r="K19" s="25" t="e">
        <f>E19*G19*I19</f>
        <v>#REF!</v>
      </c>
    </row>
    <row r="20" spans="1:12" ht="13.5" thickBot="1" x14ac:dyDescent="0.35">
      <c r="B20" s="36" t="s">
        <v>460</v>
      </c>
      <c r="C20" s="37"/>
      <c r="E20" s="32">
        <v>1</v>
      </c>
      <c r="F20" s="5" t="s">
        <v>483</v>
      </c>
      <c r="G20" s="32"/>
      <c r="H20" s="5" t="s">
        <v>474</v>
      </c>
      <c r="I20" s="38" t="e">
        <f>ROUNDUP($I$10,0)</f>
        <v>#REF!</v>
      </c>
      <c r="J20" s="5" t="s">
        <v>467</v>
      </c>
      <c r="K20" s="25" t="e">
        <f>E20*G20*I20</f>
        <v>#REF!</v>
      </c>
      <c r="L20" s="5" t="s">
        <v>751</v>
      </c>
    </row>
    <row r="21" spans="1:12" ht="13.5" thickBot="1" x14ac:dyDescent="0.35">
      <c r="B21" s="39" t="s">
        <v>461</v>
      </c>
      <c r="C21" s="40" t="e">
        <f>#REF!</f>
        <v>#REF!</v>
      </c>
      <c r="E21" s="25">
        <f>G12</f>
        <v>4</v>
      </c>
      <c r="F21" s="5" t="s">
        <v>477</v>
      </c>
      <c r="G21" s="32"/>
      <c r="H21" s="5" t="s">
        <v>484</v>
      </c>
      <c r="I21" s="38" t="e">
        <f>ROUNDUP($I$10,0)</f>
        <v>#REF!</v>
      </c>
      <c r="J21" s="5" t="s">
        <v>467</v>
      </c>
      <c r="K21" s="25" t="e">
        <f>E21*G21*I21</f>
        <v>#REF!</v>
      </c>
      <c r="L21" s="5" t="s">
        <v>751</v>
      </c>
    </row>
    <row r="22" spans="1:12" ht="13.5" thickBot="1" x14ac:dyDescent="0.35">
      <c r="A22" s="634" t="s">
        <v>462</v>
      </c>
      <c r="B22" s="634"/>
      <c r="C22" s="41" t="e">
        <f>ROUNDUP(C21/100,0)</f>
        <v>#REF!</v>
      </c>
      <c r="L22" s="5" t="s">
        <v>751</v>
      </c>
    </row>
    <row r="23" spans="1:12" ht="13.5" thickBot="1" x14ac:dyDescent="0.35">
      <c r="B23" s="39" t="s">
        <v>463</v>
      </c>
      <c r="C23" s="42">
        <v>1.2</v>
      </c>
    </row>
    <row r="24" spans="1:12" ht="13.5" thickBot="1" x14ac:dyDescent="0.35">
      <c r="B24" s="39" t="s">
        <v>464</v>
      </c>
      <c r="C24" s="43" t="e">
        <f>ROUNDUP(0.2*C22,0)</f>
        <v>#REF!</v>
      </c>
    </row>
    <row r="25" spans="1:12" ht="13.5" thickBot="1" x14ac:dyDescent="0.35"/>
    <row r="26" spans="1:12" ht="13.5" thickBot="1" x14ac:dyDescent="0.35">
      <c r="F26" s="28" t="s">
        <v>491</v>
      </c>
      <c r="G26" s="29"/>
      <c r="H26" s="5" t="s">
        <v>466</v>
      </c>
      <c r="I26" s="25">
        <f>G26/4</f>
        <v>0</v>
      </c>
      <c r="J26" s="5" t="s">
        <v>467</v>
      </c>
    </row>
    <row r="27" spans="1:12" ht="13.5" thickBot="1" x14ac:dyDescent="0.35">
      <c r="B27" s="5"/>
    </row>
    <row r="28" spans="1:12" ht="13.5" thickBot="1" x14ac:dyDescent="0.35">
      <c r="B28" s="5"/>
      <c r="F28" s="5" t="s">
        <v>470</v>
      </c>
      <c r="G28" s="32"/>
      <c r="H28" s="5" t="s">
        <v>471</v>
      </c>
      <c r="I28" s="32"/>
    </row>
    <row r="29" spans="1:12" ht="13.5" thickBot="1" x14ac:dyDescent="0.35">
      <c r="B29" s="30" t="s">
        <v>492</v>
      </c>
      <c r="C29" s="31"/>
    </row>
    <row r="30" spans="1:12" ht="13.5" thickBot="1" x14ac:dyDescent="0.35">
      <c r="B30" s="5"/>
      <c r="C30" s="5"/>
      <c r="E30" s="32"/>
      <c r="F30" s="5" t="s">
        <v>473</v>
      </c>
      <c r="G30" s="32"/>
      <c r="H30" s="5" t="s">
        <v>474</v>
      </c>
      <c r="K30" s="25" t="e">
        <f>E30*G30*$I$10</f>
        <v>#REF!</v>
      </c>
      <c r="L30" s="5" t="s">
        <v>751</v>
      </c>
    </row>
    <row r="31" spans="1:12" ht="13.5" thickBot="1" x14ac:dyDescent="0.35">
      <c r="B31" s="27" t="s">
        <v>391</v>
      </c>
      <c r="C31" s="33" t="e">
        <f>K30+K31</f>
        <v>#REF!</v>
      </c>
      <c r="E31" s="32"/>
      <c r="F31" s="5" t="s">
        <v>471</v>
      </c>
      <c r="G31" s="32"/>
      <c r="H31" s="5" t="s">
        <v>474</v>
      </c>
      <c r="K31" s="25" t="e">
        <f>E31*G31*$I$10</f>
        <v>#REF!</v>
      </c>
      <c r="L31" s="5" t="s">
        <v>751</v>
      </c>
    </row>
    <row r="32" spans="1:12" ht="13.5" thickBot="1" x14ac:dyDescent="0.35">
      <c r="B32" s="27" t="s">
        <v>458</v>
      </c>
      <c r="C32" s="33">
        <f>K33</f>
        <v>0</v>
      </c>
    </row>
    <row r="33" spans="2:12" ht="13.5" thickBot="1" x14ac:dyDescent="0.35">
      <c r="B33" s="27" t="s">
        <v>493</v>
      </c>
      <c r="C33" s="33" t="e">
        <f>K35+K36+K37</f>
        <v>#REF!</v>
      </c>
      <c r="E33" s="25">
        <f>G28</f>
        <v>0</v>
      </c>
      <c r="F33" s="5" t="s">
        <v>494</v>
      </c>
      <c r="G33" s="21">
        <f>ROUNDUP(G26/6,1)</f>
        <v>0</v>
      </c>
      <c r="H33" s="5" t="s">
        <v>495</v>
      </c>
      <c r="I33" s="44"/>
      <c r="J33" s="5" t="s">
        <v>496</v>
      </c>
      <c r="K33" s="25">
        <f>E33*G33*I33</f>
        <v>0</v>
      </c>
      <c r="L33" s="5" t="s">
        <v>751</v>
      </c>
    </row>
    <row r="34" spans="2:12" ht="13.5" thickBot="1" x14ac:dyDescent="0.35">
      <c r="B34" s="34" t="s">
        <v>331</v>
      </c>
      <c r="C34" s="35" t="e">
        <f>SUM(C31:C33)</f>
        <v>#REF!</v>
      </c>
    </row>
    <row r="35" spans="2:12" ht="13.5" thickBot="1" x14ac:dyDescent="0.35">
      <c r="B35" s="5"/>
      <c r="C35" s="5"/>
      <c r="E35" s="32">
        <v>1</v>
      </c>
      <c r="F35" s="5" t="s">
        <v>481</v>
      </c>
      <c r="G35" s="32"/>
      <c r="H35" s="5" t="s">
        <v>474</v>
      </c>
      <c r="I35" s="38" t="e">
        <f>ROUNDUP($I$10,0)</f>
        <v>#REF!</v>
      </c>
      <c r="J35" s="5" t="s">
        <v>467</v>
      </c>
      <c r="K35" s="25" t="e">
        <f>E35*G35*I35</f>
        <v>#REF!</v>
      </c>
      <c r="L35" s="5" t="s">
        <v>751</v>
      </c>
    </row>
    <row r="36" spans="2:12" ht="13.5" thickBot="1" x14ac:dyDescent="0.35">
      <c r="B36" s="36" t="s">
        <v>460</v>
      </c>
      <c r="C36" s="37"/>
      <c r="E36" s="32">
        <v>1</v>
      </c>
      <c r="F36" s="5" t="s">
        <v>483</v>
      </c>
      <c r="G36" s="32"/>
      <c r="H36" s="5" t="s">
        <v>474</v>
      </c>
      <c r="I36" s="38" t="e">
        <f>ROUNDUP($I$10,0)</f>
        <v>#REF!</v>
      </c>
      <c r="J36" s="5" t="s">
        <v>467</v>
      </c>
      <c r="K36" s="25" t="e">
        <f>E36*G36*I36</f>
        <v>#REF!</v>
      </c>
      <c r="L36" s="5" t="s">
        <v>751</v>
      </c>
    </row>
    <row r="37" spans="2:12" ht="13.5" thickBot="1" x14ac:dyDescent="0.35">
      <c r="B37" s="39"/>
      <c r="C37" s="41"/>
      <c r="E37" s="25">
        <f>G28</f>
        <v>0</v>
      </c>
      <c r="F37" s="5" t="s">
        <v>477</v>
      </c>
      <c r="G37" s="32"/>
      <c r="H37" s="5" t="s">
        <v>484</v>
      </c>
      <c r="I37" s="38" t="e">
        <f>ROUNDUP($I$10,0)</f>
        <v>#REF!</v>
      </c>
      <c r="J37" s="5" t="s">
        <v>467</v>
      </c>
      <c r="K37" s="25" t="e">
        <f>E37*G37*I37</f>
        <v>#REF!</v>
      </c>
      <c r="L37" s="5" t="s">
        <v>751</v>
      </c>
    </row>
    <row r="38" spans="2:12" x14ac:dyDescent="0.3">
      <c r="B38" s="39"/>
      <c r="C38" s="41"/>
    </row>
  </sheetData>
  <customSheetViews>
    <customSheetView guid="{F819DB18-533D-4F21-A4A0-15735EB80015}" scale="90" fitToPage="1" state="hidden">
      <selection activeCell="F39" sqref="F39"/>
      <pageMargins left="0" right="0" top="0" bottom="0" header="0" footer="0"/>
      <pageSetup paperSize="9" scale="61" orientation="portrait" r:id="rId1"/>
    </customSheetView>
  </customSheetViews>
  <mergeCells count="2">
    <mergeCell ref="B2:C2"/>
    <mergeCell ref="A22:B22"/>
  </mergeCells>
  <pageMargins left="0.25" right="0.25" top="0.75" bottom="0.75" header="0.3" footer="0.3"/>
  <pageSetup paperSize="9" scale="50" orientation="portrait"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13</vt:i4>
      </vt:variant>
    </vt:vector>
  </HeadingPairs>
  <TitlesOfParts>
    <vt:vector size="21" baseType="lpstr">
      <vt:lpstr>PRICE LIST</vt:lpstr>
      <vt:lpstr>METRAJE</vt:lpstr>
      <vt:lpstr>PRECIO DEL METRAJE</vt:lpstr>
      <vt:lpstr>MONTAJE CERR PROPIOS STE EP</vt:lpstr>
      <vt:lpstr>TABLA OFERTA AMPLIADA</vt:lpstr>
      <vt:lpstr>TABLA OFERTA AMPLIADA INGLÉS</vt:lpstr>
      <vt:lpstr>TABLA OFERTA FRANCES</vt:lpstr>
      <vt:lpstr>MONTAJE CERRAM.</vt:lpstr>
      <vt:lpstr>METRAJE!Área_de_impresión</vt:lpstr>
      <vt:lpstr>'MONTAJE CERR PROPIOS STE EP'!Área_de_impresión</vt:lpstr>
      <vt:lpstr>'MONTAJE CERRAM.'!Área_de_impresión</vt:lpstr>
      <vt:lpstr>'TABLA OFERTA AMPLIADA'!Criterios</vt:lpstr>
      <vt:lpstr>'TABLA OFERTA AMPLIADA INGLÉS'!Criterios</vt:lpstr>
      <vt:lpstr>'TABLA OFERTA FRANCES'!Criterios</vt:lpstr>
      <vt:lpstr>FMONTAJE</vt:lpstr>
      <vt:lpstr>TIPOTARIFA</vt:lpstr>
      <vt:lpstr>'PRECIO DEL METRAJE'!Títulos_a_imprimir</vt:lpstr>
      <vt:lpstr>'PRICE LIST'!Títulos_a_imprimir</vt:lpstr>
      <vt:lpstr>'TABLA OFERTA AMPLIADA'!Títulos_a_imprimir</vt:lpstr>
      <vt:lpstr>'TABLA OFERTA AMPLIADA INGLÉS'!Títulos_a_imprimir</vt:lpstr>
      <vt:lpstr>'TABLA OFERTA FRANCES'!Títulos_a_imprimir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Carme Galiana</dc:creator>
  <cp:keywords/>
  <dc:description/>
  <cp:lastModifiedBy>Vicente Petrosino</cp:lastModifiedBy>
  <cp:revision/>
  <dcterms:created xsi:type="dcterms:W3CDTF">1999-06-09T12:55:38Z</dcterms:created>
  <dcterms:modified xsi:type="dcterms:W3CDTF">2025-12-02T07:53:45Z</dcterms:modified>
  <cp:category/>
  <cp:contentStatus/>
</cp:coreProperties>
</file>